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https://tromkom.sharepoint.com/sites/Barnehage-ogskolestruktur/Delte dokumenter/General/Arbeidsdokumenter/Vedlegg som skal ligge ved saken, både kunnskapsgrunnlag og strukturdokument/Vedlegg kunnskapsgrunnlag/"/>
    </mc:Choice>
  </mc:AlternateContent>
  <xr:revisionPtr revIDLastSave="4794" documentId="8_{23168E6A-26B2-4B9C-9E7A-45C78BD6EBD0}" xr6:coauthVersionLast="47" xr6:coauthVersionMax="47" xr10:uidLastSave="{F19FBC17-C85C-47CD-9063-7A88AE56E9B7}"/>
  <bookViews>
    <workbookView xWindow="-120" yWindow="-120" windowWidth="29040" windowHeight="15840" activeTab="1" xr2:uid="{55695F3E-B5F0-4AFC-ADE7-C3191CACCCC2}"/>
  </bookViews>
  <sheets>
    <sheet name="Barnehager" sheetId="3" r:id="rId1"/>
    <sheet name="Skoler " sheetId="2" r:id="rId2"/>
  </sheets>
  <definedNames>
    <definedName name="_xlnm._FilterDatabase" localSheetId="0" hidden="1">Barnehager!$1:$1</definedName>
    <definedName name="_xlnm.Print_Area" localSheetId="0">Barnehager!$A$1:$AZ$35</definedName>
    <definedName name="_xlnm.Print_Area" localSheetId="1">'Skoler '!$A$1:$BF$44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8" i="2" l="1"/>
  <c r="AD17" i="2"/>
  <c r="AE17" i="2"/>
  <c r="AF17" i="2"/>
  <c r="AC17" i="2"/>
  <c r="AB17" i="2"/>
  <c r="U5" i="2"/>
  <c r="T5" i="2"/>
  <c r="L26" i="3"/>
  <c r="M26" i="3" s="1"/>
  <c r="H26" i="3"/>
  <c r="I26" i="3" s="1"/>
  <c r="D26" i="3"/>
  <c r="E26" i="3"/>
  <c r="F26" i="3"/>
  <c r="G26" i="3"/>
  <c r="J26" i="3"/>
  <c r="K26" i="3"/>
  <c r="N26" i="3"/>
  <c r="S26" i="3" s="1"/>
  <c r="T26" i="3" s="1"/>
  <c r="O26" i="3"/>
  <c r="P26" i="3"/>
  <c r="Q26" i="3"/>
  <c r="R26" i="3"/>
  <c r="U26" i="3"/>
  <c r="Y26" i="3" s="1"/>
  <c r="Z26" i="3" s="1"/>
  <c r="V26" i="3"/>
  <c r="W26" i="3"/>
  <c r="X26" i="3"/>
  <c r="AA26" i="3"/>
  <c r="AE26" i="3" s="1"/>
  <c r="AF26" i="3" s="1"/>
  <c r="AB26" i="3"/>
  <c r="AC26" i="3"/>
  <c r="AD26" i="3"/>
  <c r="AG26" i="3"/>
  <c r="AH26" i="3"/>
  <c r="AI26" i="3"/>
  <c r="AJ26" i="3"/>
  <c r="AK26" i="3"/>
  <c r="AL26" i="3"/>
  <c r="AM26" i="3" s="1"/>
  <c r="AN26" i="3" s="1"/>
  <c r="AO26" i="3"/>
  <c r="AS26" i="3" s="1"/>
  <c r="AT26" i="3" s="1"/>
  <c r="AP26" i="3"/>
  <c r="AQ26" i="3"/>
  <c r="AR26" i="3"/>
  <c r="AU26" i="3"/>
  <c r="AY26" i="3" s="1"/>
  <c r="AZ26" i="3" s="1"/>
  <c r="AV26" i="3"/>
  <c r="AW26" i="3"/>
  <c r="AX26" i="3"/>
  <c r="C26" i="3"/>
  <c r="T3" i="3"/>
  <c r="G38" i="2"/>
  <c r="I38" i="2"/>
  <c r="M38" i="2"/>
  <c r="O38" i="2"/>
  <c r="S38" i="2"/>
  <c r="V38" i="2"/>
  <c r="W38" i="2"/>
  <c r="AB38" i="2"/>
  <c r="AN38" i="2"/>
  <c r="AT38" i="2"/>
  <c r="AU38" i="2"/>
  <c r="C38" i="2"/>
  <c r="D36" i="2"/>
  <c r="D38" i="2" s="1"/>
  <c r="E36" i="2"/>
  <c r="E38" i="2" s="1"/>
  <c r="F36" i="2"/>
  <c r="F38" i="2" s="1"/>
  <c r="G36" i="2"/>
  <c r="H36" i="2"/>
  <c r="H38" i="2" s="1"/>
  <c r="I36" i="2"/>
  <c r="L36" i="2"/>
  <c r="L38" i="2" s="1"/>
  <c r="M36" i="2"/>
  <c r="N36" i="2"/>
  <c r="N38" i="2" s="1"/>
  <c r="O36" i="2"/>
  <c r="P36" i="2"/>
  <c r="P38" i="2" s="1"/>
  <c r="Q36" i="2"/>
  <c r="Q38" i="2" s="1"/>
  <c r="R36" i="2"/>
  <c r="S36" i="2"/>
  <c r="V36" i="2"/>
  <c r="W36" i="2"/>
  <c r="X36" i="2"/>
  <c r="X38" i="2" s="1"/>
  <c r="AA36" i="2"/>
  <c r="AA38" i="2" s="1"/>
  <c r="AB36" i="2"/>
  <c r="AC36" i="2"/>
  <c r="AC38" i="2" s="1"/>
  <c r="AD36" i="2"/>
  <c r="AD38" i="2" s="1"/>
  <c r="AG36" i="2"/>
  <c r="AG38" i="2" s="1"/>
  <c r="AH36" i="2"/>
  <c r="AH38" i="2" s="1"/>
  <c r="AI36" i="2"/>
  <c r="AI38" i="2" s="1"/>
  <c r="AJ36" i="2"/>
  <c r="AJ38" i="2" s="1"/>
  <c r="AM36" i="2"/>
  <c r="AM38" i="2" s="1"/>
  <c r="AN36" i="2"/>
  <c r="AO36" i="2"/>
  <c r="AO38" i="2" s="1"/>
  <c r="AP36" i="2"/>
  <c r="AP38" i="2" s="1"/>
  <c r="AQ36" i="2"/>
  <c r="AQ38" i="2" s="1"/>
  <c r="AT36" i="2"/>
  <c r="AU36" i="2"/>
  <c r="AV36" i="2"/>
  <c r="AV38" i="2" s="1"/>
  <c r="AW36" i="2"/>
  <c r="AW38" i="2" s="1"/>
  <c r="AX36" i="2"/>
  <c r="AX38" i="2" s="1"/>
  <c r="AY36" i="2"/>
  <c r="AY38" i="2" s="1"/>
  <c r="BB36" i="2"/>
  <c r="BB38" i="2" s="1"/>
  <c r="BC36" i="2"/>
  <c r="BC38" i="2" s="1"/>
  <c r="BD36" i="2"/>
  <c r="BD38" i="2" s="1"/>
  <c r="C36" i="2"/>
  <c r="Y7" i="2"/>
  <c r="Z7" i="2" s="1"/>
  <c r="Y5" i="2"/>
  <c r="Y4" i="2"/>
  <c r="O33" i="2"/>
  <c r="M33" i="2"/>
  <c r="T7" i="2"/>
  <c r="U7" i="2" s="1"/>
  <c r="T4" i="2"/>
  <c r="U4" i="2" s="1"/>
  <c r="Q33" i="2"/>
  <c r="R38" i="2" l="1"/>
  <c r="Y6" i="2"/>
  <c r="Y8" i="2"/>
  <c r="R5" i="2"/>
  <c r="R35" i="2" s="1"/>
  <c r="Q8" i="2"/>
  <c r="Q17" i="2"/>
  <c r="Q18" i="2" s="1"/>
  <c r="Q34" i="2"/>
  <c r="Q35" i="2" s="1"/>
  <c r="Q37" i="2"/>
  <c r="Q43" i="2"/>
  <c r="Q44" i="2"/>
  <c r="N35" i="2"/>
  <c r="O34" i="2"/>
  <c r="S33" i="2" l="1"/>
  <c r="T6" i="2" l="1"/>
  <c r="T8" i="2"/>
  <c r="T16" i="2"/>
  <c r="U16" i="2" s="1"/>
  <c r="T23" i="2"/>
  <c r="U23" i="2" s="1"/>
  <c r="T24" i="2"/>
  <c r="T25" i="2"/>
  <c r="U25" i="2" s="1"/>
  <c r="T26" i="2"/>
  <c r="U26" i="2" s="1"/>
  <c r="Y26" i="2" s="1"/>
  <c r="T27" i="2"/>
  <c r="U27" i="2" s="1"/>
  <c r="Y27" i="2" s="1"/>
  <c r="T28" i="2"/>
  <c r="U28" i="2" s="1"/>
  <c r="T29" i="2"/>
  <c r="U29" i="2" s="1"/>
  <c r="T31" i="2"/>
  <c r="U31" i="2" s="1"/>
  <c r="Y31" i="2" s="1"/>
  <c r="T39" i="2"/>
  <c r="U39" i="2" s="1"/>
  <c r="T40" i="2"/>
  <c r="U40" i="2" s="1"/>
  <c r="S43" i="2"/>
  <c r="S44" i="2"/>
  <c r="S37" i="2"/>
  <c r="S17" i="2"/>
  <c r="S18" i="2" s="1"/>
  <c r="S6" i="2"/>
  <c r="S8" i="2"/>
  <c r="AE40" i="2"/>
  <c r="AF40" i="2" s="1"/>
  <c r="AK40" i="2"/>
  <c r="AL40" i="2" s="1"/>
  <c r="AR40" i="2"/>
  <c r="AS40" i="2" s="1"/>
  <c r="AZ40" i="2"/>
  <c r="BA40" i="2" s="1"/>
  <c r="BE40" i="2"/>
  <c r="BF40" i="2" s="1"/>
  <c r="J41" i="2"/>
  <c r="K41" i="2" s="1"/>
  <c r="AE41" i="2"/>
  <c r="AF41" i="2" s="1"/>
  <c r="AK41" i="2"/>
  <c r="AL41" i="2" s="1"/>
  <c r="AR41" i="2"/>
  <c r="AS41" i="2" s="1"/>
  <c r="AZ41" i="2"/>
  <c r="BA41" i="2" s="1"/>
  <c r="BE41" i="2"/>
  <c r="BF41" i="2" s="1"/>
  <c r="J42" i="2"/>
  <c r="AE42" i="2"/>
  <c r="AK42" i="2"/>
  <c r="AR42" i="2"/>
  <c r="AZ42" i="2"/>
  <c r="BE42" i="2"/>
  <c r="C43" i="2"/>
  <c r="D43" i="2"/>
  <c r="E43" i="2"/>
  <c r="G43" i="2"/>
  <c r="H43" i="2"/>
  <c r="I43" i="2"/>
  <c r="L43" i="2"/>
  <c r="M43" i="2"/>
  <c r="O43" i="2"/>
  <c r="P43" i="2"/>
  <c r="V43" i="2"/>
  <c r="W43" i="2"/>
  <c r="X43" i="2"/>
  <c r="AA43" i="2"/>
  <c r="AB43" i="2"/>
  <c r="AC43" i="2"/>
  <c r="AD43" i="2"/>
  <c r="AG43" i="2"/>
  <c r="AI43" i="2"/>
  <c r="AJ43" i="2"/>
  <c r="AM43" i="2"/>
  <c r="AN43" i="2"/>
  <c r="AO43" i="2"/>
  <c r="AP43" i="2"/>
  <c r="AQ43" i="2"/>
  <c r="AT43" i="2"/>
  <c r="AU43" i="2"/>
  <c r="AV43" i="2"/>
  <c r="AW43" i="2"/>
  <c r="AY43" i="2"/>
  <c r="BB43" i="2"/>
  <c r="BC43" i="2"/>
  <c r="BD43" i="2"/>
  <c r="C44" i="2"/>
  <c r="D44" i="2"/>
  <c r="E44" i="2"/>
  <c r="G44" i="2"/>
  <c r="H44" i="2"/>
  <c r="I44" i="2"/>
  <c r="L44" i="2"/>
  <c r="M44" i="2"/>
  <c r="O44" i="2"/>
  <c r="P44" i="2"/>
  <c r="V44" i="2"/>
  <c r="W44" i="2"/>
  <c r="X44" i="2"/>
  <c r="AA44" i="2"/>
  <c r="AB44" i="2"/>
  <c r="AC44" i="2"/>
  <c r="AD44" i="2"/>
  <c r="AG44" i="2"/>
  <c r="AH44" i="2"/>
  <c r="AI44" i="2"/>
  <c r="AJ44" i="2"/>
  <c r="AM44" i="2"/>
  <c r="AN44" i="2"/>
  <c r="AO44" i="2"/>
  <c r="AP44" i="2"/>
  <c r="AQ44" i="2"/>
  <c r="AT44" i="2"/>
  <c r="AU44" i="2"/>
  <c r="AV44" i="2"/>
  <c r="AW44" i="2"/>
  <c r="AY44" i="2"/>
  <c r="BB44" i="2"/>
  <c r="BC44" i="2"/>
  <c r="BD44" i="2"/>
  <c r="L10" i="3"/>
  <c r="M10" i="3" s="1"/>
  <c r="S10" i="3"/>
  <c r="T10" i="3" s="1"/>
  <c r="Y10" i="3"/>
  <c r="Z10" i="3" s="1"/>
  <c r="AE10" i="3"/>
  <c r="AF10" i="3" s="1"/>
  <c r="AM10" i="3"/>
  <c r="AN10" i="3" s="1"/>
  <c r="AS10" i="3"/>
  <c r="AT10" i="3"/>
  <c r="AY10" i="3"/>
  <c r="AZ10" i="3" s="1"/>
  <c r="AE7" i="2"/>
  <c r="AE10" i="2"/>
  <c r="AE13" i="2"/>
  <c r="AE16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F33" i="2" s="1"/>
  <c r="AE39" i="2"/>
  <c r="AD34" i="2"/>
  <c r="AD35" i="2" s="1"/>
  <c r="E9" i="3"/>
  <c r="S14" i="3"/>
  <c r="S15" i="3"/>
  <c r="S17" i="3"/>
  <c r="S20" i="3"/>
  <c r="S11" i="3"/>
  <c r="S12" i="3"/>
  <c r="S13" i="3"/>
  <c r="S7" i="3"/>
  <c r="S8" i="3"/>
  <c r="H7" i="3"/>
  <c r="H8" i="3"/>
  <c r="S4" i="3"/>
  <c r="AE4" i="2"/>
  <c r="AZ5" i="2"/>
  <c r="AE5" i="2"/>
  <c r="D37" i="2"/>
  <c r="E37" i="2"/>
  <c r="F37" i="2"/>
  <c r="G37" i="2"/>
  <c r="H37" i="2"/>
  <c r="I37" i="2"/>
  <c r="L37" i="2"/>
  <c r="M37" i="2"/>
  <c r="O37" i="2"/>
  <c r="P37" i="2"/>
  <c r="V37" i="2"/>
  <c r="W37" i="2"/>
  <c r="X37" i="2"/>
  <c r="AA37" i="2"/>
  <c r="AB37" i="2"/>
  <c r="AC37" i="2"/>
  <c r="AD37" i="2"/>
  <c r="AG37" i="2"/>
  <c r="AH37" i="2"/>
  <c r="AI37" i="2"/>
  <c r="AJ37" i="2"/>
  <c r="AM37" i="2"/>
  <c r="AN37" i="2"/>
  <c r="AO37" i="2"/>
  <c r="AP37" i="2"/>
  <c r="AQ37" i="2"/>
  <c r="AT37" i="2"/>
  <c r="AU37" i="2"/>
  <c r="AV37" i="2"/>
  <c r="AW37" i="2"/>
  <c r="AX37" i="2"/>
  <c r="AY37" i="2"/>
  <c r="BB37" i="2"/>
  <c r="BC37" i="2"/>
  <c r="BD37" i="2"/>
  <c r="C37" i="2"/>
  <c r="BA42" i="2" l="1"/>
  <c r="BA36" i="2" s="1"/>
  <c r="BA38" i="2" s="1"/>
  <c r="AZ36" i="2"/>
  <c r="AZ38" i="2" s="1"/>
  <c r="BF42" i="2"/>
  <c r="BF36" i="2" s="1"/>
  <c r="BE36" i="2"/>
  <c r="BE38" i="2" s="1"/>
  <c r="AS42" i="2"/>
  <c r="AS36" i="2" s="1"/>
  <c r="AS38" i="2" s="1"/>
  <c r="AR36" i="2"/>
  <c r="AL42" i="2"/>
  <c r="AL36" i="2" s="1"/>
  <c r="AL38" i="2" s="1"/>
  <c r="AK36" i="2"/>
  <c r="AF42" i="2"/>
  <c r="AF36" i="2" s="1"/>
  <c r="AE36" i="2"/>
  <c r="AE38" i="2" s="1"/>
  <c r="K42" i="2"/>
  <c r="K36" i="2" s="1"/>
  <c r="J36" i="2"/>
  <c r="Y40" i="2"/>
  <c r="Z40" i="2" s="1"/>
  <c r="T41" i="2"/>
  <c r="Y16" i="2"/>
  <c r="Z16" i="2" s="1"/>
  <c r="Y25" i="2"/>
  <c r="Z25" i="2" s="1"/>
  <c r="Y29" i="2"/>
  <c r="Z29" i="2" s="1"/>
  <c r="Y23" i="2"/>
  <c r="Z23" i="2" s="1"/>
  <c r="AF23" i="2" s="1"/>
  <c r="T42" i="2"/>
  <c r="Y28" i="2"/>
  <c r="Z28" i="2" s="1"/>
  <c r="Y39" i="2"/>
  <c r="Z39" i="2" s="1"/>
  <c r="AF39" i="2" s="1"/>
  <c r="BE43" i="2"/>
  <c r="BF43" i="2" s="1"/>
  <c r="U24" i="2"/>
  <c r="Y24" i="2" s="1"/>
  <c r="Z24" i="2" s="1"/>
  <c r="AK43" i="2"/>
  <c r="AL43" i="2" s="1"/>
  <c r="AK44" i="2"/>
  <c r="AL44" i="2" s="1"/>
  <c r="AR44" i="2"/>
  <c r="AS44" i="2" s="1"/>
  <c r="AE44" i="2"/>
  <c r="AF44" i="2" s="1"/>
  <c r="AZ43" i="2"/>
  <c r="BA43" i="2" s="1"/>
  <c r="J43" i="2"/>
  <c r="BE44" i="2"/>
  <c r="BF44" i="2" s="1"/>
  <c r="J44" i="2"/>
  <c r="K44" i="2" s="1"/>
  <c r="AZ44" i="2"/>
  <c r="BA44" i="2" s="1"/>
  <c r="AE43" i="2"/>
  <c r="AF43" i="2" s="1"/>
  <c r="AR43" i="2"/>
  <c r="AS43" i="2" s="1"/>
  <c r="BE37" i="2"/>
  <c r="BF37" i="2" s="1"/>
  <c r="AE37" i="2"/>
  <c r="AR37" i="2"/>
  <c r="AS37" i="2" s="1"/>
  <c r="AZ37" i="2"/>
  <c r="BA37" i="2" s="1"/>
  <c r="BE5" i="2"/>
  <c r="BF5" i="2" s="1"/>
  <c r="BE7" i="2"/>
  <c r="BF7" i="2" s="1"/>
  <c r="BE9" i="2"/>
  <c r="BF9" i="2" s="1"/>
  <c r="BE10" i="2"/>
  <c r="BF10" i="2" s="1"/>
  <c r="BE13" i="2"/>
  <c r="BF13" i="2" s="1"/>
  <c r="BE16" i="2"/>
  <c r="BF16" i="2" s="1"/>
  <c r="BE19" i="2"/>
  <c r="BF19" i="2" s="1"/>
  <c r="BE20" i="2"/>
  <c r="BF20" i="2" s="1"/>
  <c r="BE21" i="2"/>
  <c r="BF21" i="2" s="1"/>
  <c r="BE22" i="2"/>
  <c r="BF22" i="2" s="1"/>
  <c r="BE23" i="2"/>
  <c r="BF23" i="2" s="1"/>
  <c r="BE24" i="2"/>
  <c r="BF24" i="2" s="1"/>
  <c r="BE25" i="2"/>
  <c r="BF25" i="2" s="1"/>
  <c r="BE26" i="2"/>
  <c r="BF26" i="2" s="1"/>
  <c r="BE27" i="2"/>
  <c r="BF27" i="2" s="1"/>
  <c r="BE28" i="2"/>
  <c r="BF28" i="2" s="1"/>
  <c r="BE29" i="2"/>
  <c r="BF29" i="2" s="1"/>
  <c r="BE30" i="2"/>
  <c r="BF30" i="2" s="1"/>
  <c r="BE31" i="2"/>
  <c r="BF31" i="2" s="1"/>
  <c r="BE32" i="2"/>
  <c r="BF32" i="2" s="1"/>
  <c r="BE33" i="2"/>
  <c r="BF33" i="2" s="1"/>
  <c r="BE39" i="2"/>
  <c r="BF39" i="2" s="1"/>
  <c r="BE4" i="2"/>
  <c r="BF4" i="2" s="1"/>
  <c r="BA5" i="2"/>
  <c r="AZ7" i="2"/>
  <c r="BA7" i="2" s="1"/>
  <c r="AZ9" i="2"/>
  <c r="BA9" i="2" s="1"/>
  <c r="AZ10" i="2"/>
  <c r="BA10" i="2" s="1"/>
  <c r="AZ13" i="2"/>
  <c r="BA13" i="2" s="1"/>
  <c r="AZ16" i="2"/>
  <c r="BA16" i="2" s="1"/>
  <c r="AZ19" i="2"/>
  <c r="BA19" i="2" s="1"/>
  <c r="AZ20" i="2"/>
  <c r="BA20" i="2" s="1"/>
  <c r="AZ21" i="2"/>
  <c r="BA21" i="2" s="1"/>
  <c r="AZ22" i="2"/>
  <c r="BA22" i="2" s="1"/>
  <c r="AZ23" i="2"/>
  <c r="BA23" i="2" s="1"/>
  <c r="AZ24" i="2"/>
  <c r="BA24" i="2" s="1"/>
  <c r="AZ25" i="2"/>
  <c r="BA25" i="2" s="1"/>
  <c r="AZ26" i="2"/>
  <c r="BA26" i="2" s="1"/>
  <c r="AZ27" i="2"/>
  <c r="BA27" i="2" s="1"/>
  <c r="AZ28" i="2"/>
  <c r="BA28" i="2" s="1"/>
  <c r="AZ29" i="2"/>
  <c r="BA29" i="2" s="1"/>
  <c r="AZ30" i="2"/>
  <c r="BA30" i="2" s="1"/>
  <c r="AZ31" i="2"/>
  <c r="BA31" i="2" s="1"/>
  <c r="AZ32" i="2"/>
  <c r="BA32" i="2" s="1"/>
  <c r="AZ33" i="2"/>
  <c r="BA33" i="2" s="1"/>
  <c r="AZ39" i="2"/>
  <c r="BA39" i="2" s="1"/>
  <c r="AZ4" i="2"/>
  <c r="BA4" i="2" s="1"/>
  <c r="AR5" i="2"/>
  <c r="AS5" i="2" s="1"/>
  <c r="AR7" i="2"/>
  <c r="AS7" i="2" s="1"/>
  <c r="AR10" i="2"/>
  <c r="AS10" i="2" s="1"/>
  <c r="AR13" i="2"/>
  <c r="AS13" i="2" s="1"/>
  <c r="AR16" i="2"/>
  <c r="AS16" i="2" s="1"/>
  <c r="AR19" i="2"/>
  <c r="AS19" i="2" s="1"/>
  <c r="AR20" i="2"/>
  <c r="AS20" i="2" s="1"/>
  <c r="AR21" i="2"/>
  <c r="AS21" i="2" s="1"/>
  <c r="AR22" i="2"/>
  <c r="AS22" i="2" s="1"/>
  <c r="AR23" i="2"/>
  <c r="AS23" i="2" s="1"/>
  <c r="AR24" i="2"/>
  <c r="AS24" i="2" s="1"/>
  <c r="AR25" i="2"/>
  <c r="AS25" i="2" s="1"/>
  <c r="AR26" i="2"/>
  <c r="AS26" i="2" s="1"/>
  <c r="AR27" i="2"/>
  <c r="AS27" i="2" s="1"/>
  <c r="AR28" i="2"/>
  <c r="AS28" i="2" s="1"/>
  <c r="AR29" i="2"/>
  <c r="AS29" i="2" s="1"/>
  <c r="AR30" i="2"/>
  <c r="AS30" i="2" s="1"/>
  <c r="AR31" i="2"/>
  <c r="AS31" i="2" s="1"/>
  <c r="AR32" i="2"/>
  <c r="AS32" i="2" s="1"/>
  <c r="AR33" i="2"/>
  <c r="AS33" i="2" s="1"/>
  <c r="AR39" i="2"/>
  <c r="AS39" i="2" s="1"/>
  <c r="AR4" i="2"/>
  <c r="AS4" i="2" s="1"/>
  <c r="AK5" i="2"/>
  <c r="AL5" i="2" s="1"/>
  <c r="AK7" i="2"/>
  <c r="AK10" i="2"/>
  <c r="AK13" i="2"/>
  <c r="AK16" i="2"/>
  <c r="AL16" i="2" s="1"/>
  <c r="AK19" i="2"/>
  <c r="AL19" i="2" s="1"/>
  <c r="AK20" i="2"/>
  <c r="AL20" i="2" s="1"/>
  <c r="AK21" i="2"/>
  <c r="AL21" i="2" s="1"/>
  <c r="AK22" i="2"/>
  <c r="AL22" i="2" s="1"/>
  <c r="AK23" i="2"/>
  <c r="AL23" i="2" s="1"/>
  <c r="AK24" i="2"/>
  <c r="AL24" i="2" s="1"/>
  <c r="AK25" i="2"/>
  <c r="AL25" i="2" s="1"/>
  <c r="AK26" i="2"/>
  <c r="AL26" i="2" s="1"/>
  <c r="AK27" i="2"/>
  <c r="AL27" i="2" s="1"/>
  <c r="AK28" i="2"/>
  <c r="AL28" i="2" s="1"/>
  <c r="AK29" i="2"/>
  <c r="AL29" i="2" s="1"/>
  <c r="AK30" i="2"/>
  <c r="AL30" i="2" s="1"/>
  <c r="AK31" i="2"/>
  <c r="AL31" i="2" s="1"/>
  <c r="AK32" i="2"/>
  <c r="AL32" i="2" s="1"/>
  <c r="AK33" i="2"/>
  <c r="AL33" i="2" s="1"/>
  <c r="AK39" i="2"/>
  <c r="AL39" i="2" s="1"/>
  <c r="AK4" i="2"/>
  <c r="AL4" i="2" s="1"/>
  <c r="AF13" i="2"/>
  <c r="AF30" i="2"/>
  <c r="AF32" i="2"/>
  <c r="Z26" i="2"/>
  <c r="Z27" i="2"/>
  <c r="Z31" i="2"/>
  <c r="AY34" i="3"/>
  <c r="AZ34" i="3" s="1"/>
  <c r="AY31" i="3"/>
  <c r="AZ31" i="3" s="1"/>
  <c r="AY30" i="3"/>
  <c r="AZ30" i="3" s="1"/>
  <c r="AY29" i="3"/>
  <c r="AZ29" i="3" s="1"/>
  <c r="AY28" i="3"/>
  <c r="AZ28" i="3" s="1"/>
  <c r="AY27" i="3"/>
  <c r="AZ27" i="3" s="1"/>
  <c r="AY25" i="3"/>
  <c r="AZ25" i="3" s="1"/>
  <c r="AY24" i="3"/>
  <c r="AZ24" i="3" s="1"/>
  <c r="AY23" i="3"/>
  <c r="AZ23" i="3" s="1"/>
  <c r="AY21" i="3"/>
  <c r="AZ21" i="3" s="1"/>
  <c r="AY20" i="3"/>
  <c r="AZ20" i="3" s="1"/>
  <c r="AY17" i="3"/>
  <c r="AZ17" i="3" s="1"/>
  <c r="AY15" i="3"/>
  <c r="AZ15" i="3" s="1"/>
  <c r="AY14" i="3"/>
  <c r="AZ14" i="3" s="1"/>
  <c r="AY13" i="3"/>
  <c r="AZ13" i="3" s="1"/>
  <c r="AY12" i="3"/>
  <c r="AZ12" i="3" s="1"/>
  <c r="AY11" i="3"/>
  <c r="AZ11" i="3" s="1"/>
  <c r="AY8" i="3"/>
  <c r="AZ8" i="3" s="1"/>
  <c r="AY7" i="3"/>
  <c r="AZ7" i="3" s="1"/>
  <c r="AY4" i="3"/>
  <c r="AZ4" i="3" s="1"/>
  <c r="AS7" i="3"/>
  <c r="AT7" i="3" s="1"/>
  <c r="AS8" i="3"/>
  <c r="AT8" i="3" s="1"/>
  <c r="AS11" i="3"/>
  <c r="AT11" i="3" s="1"/>
  <c r="AS12" i="3"/>
  <c r="AT12" i="3" s="1"/>
  <c r="AS13" i="3"/>
  <c r="AT13" i="3" s="1"/>
  <c r="AS14" i="3"/>
  <c r="AT14" i="3" s="1"/>
  <c r="AS15" i="3"/>
  <c r="AT15" i="3" s="1"/>
  <c r="AS17" i="3"/>
  <c r="AT17" i="3" s="1"/>
  <c r="AS20" i="3"/>
  <c r="AT20" i="3" s="1"/>
  <c r="AS21" i="3"/>
  <c r="AT21" i="3" s="1"/>
  <c r="AS23" i="3"/>
  <c r="AT23" i="3" s="1"/>
  <c r="AS24" i="3"/>
  <c r="AT24" i="3" s="1"/>
  <c r="AS25" i="3"/>
  <c r="AT25" i="3" s="1"/>
  <c r="AS27" i="3"/>
  <c r="AT27" i="3" s="1"/>
  <c r="AS28" i="3"/>
  <c r="AT28" i="3" s="1"/>
  <c r="AS29" i="3"/>
  <c r="AT29" i="3" s="1"/>
  <c r="AS30" i="3"/>
  <c r="AT30" i="3" s="1"/>
  <c r="AS31" i="3"/>
  <c r="AT31" i="3" s="1"/>
  <c r="AS34" i="3"/>
  <c r="AT34" i="3" s="1"/>
  <c r="AS4" i="3"/>
  <c r="AT4" i="3" s="1"/>
  <c r="AM7" i="3"/>
  <c r="AM8" i="3"/>
  <c r="AN8" i="3" s="1"/>
  <c r="AM11" i="3"/>
  <c r="AM12" i="3"/>
  <c r="AM13" i="3"/>
  <c r="AN13" i="3" s="1"/>
  <c r="AM14" i="3"/>
  <c r="AN14" i="3" s="1"/>
  <c r="AM15" i="3"/>
  <c r="AN15" i="3" s="1"/>
  <c r="AM17" i="3"/>
  <c r="AN17" i="3" s="1"/>
  <c r="AM20" i="3"/>
  <c r="AN20" i="3" s="1"/>
  <c r="AM23" i="3"/>
  <c r="AM24" i="3"/>
  <c r="AN24" i="3" s="1"/>
  <c r="AM25" i="3"/>
  <c r="AN25" i="3" s="1"/>
  <c r="AM27" i="3"/>
  <c r="AN27" i="3" s="1"/>
  <c r="AM28" i="3"/>
  <c r="AN28" i="3" s="1"/>
  <c r="AM29" i="3"/>
  <c r="AN29" i="3" s="1"/>
  <c r="AM30" i="3"/>
  <c r="AN30" i="3" s="1"/>
  <c r="AM31" i="3"/>
  <c r="AN31" i="3" s="1"/>
  <c r="AM34" i="3"/>
  <c r="AN34" i="3" s="1"/>
  <c r="AM4" i="3"/>
  <c r="AE34" i="3"/>
  <c r="AF34" i="3" s="1"/>
  <c r="AE31" i="3"/>
  <c r="AF31" i="3" s="1"/>
  <c r="AE30" i="3"/>
  <c r="AF30" i="3" s="1"/>
  <c r="AE29" i="3"/>
  <c r="AF29" i="3" s="1"/>
  <c r="AE28" i="3"/>
  <c r="AF28" i="3" s="1"/>
  <c r="AE27" i="3"/>
  <c r="AF27" i="3" s="1"/>
  <c r="AE25" i="3"/>
  <c r="AF25" i="3" s="1"/>
  <c r="AE24" i="3"/>
  <c r="AF24" i="3" s="1"/>
  <c r="AE23" i="3"/>
  <c r="AF23" i="3" s="1"/>
  <c r="AE20" i="3"/>
  <c r="AF20" i="3" s="1"/>
  <c r="AE17" i="3"/>
  <c r="AF17" i="3" s="1"/>
  <c r="AE15" i="3"/>
  <c r="AF15" i="3" s="1"/>
  <c r="AE14" i="3"/>
  <c r="AF14" i="3" s="1"/>
  <c r="AE13" i="3"/>
  <c r="AF13" i="3" s="1"/>
  <c r="AE12" i="3"/>
  <c r="AF12" i="3" s="1"/>
  <c r="AE11" i="3"/>
  <c r="AF11" i="3" s="1"/>
  <c r="AE8" i="3"/>
  <c r="AF8" i="3" s="1"/>
  <c r="AE7" i="3"/>
  <c r="AF7" i="3" s="1"/>
  <c r="AE4" i="3"/>
  <c r="AF4" i="3" s="1"/>
  <c r="Y7" i="3"/>
  <c r="Z7" i="3" s="1"/>
  <c r="Y8" i="3"/>
  <c r="Z8" i="3" s="1"/>
  <c r="Y11" i="3"/>
  <c r="Z11" i="3" s="1"/>
  <c r="Y12" i="3"/>
  <c r="Z12" i="3" s="1"/>
  <c r="Y13" i="3"/>
  <c r="Z13" i="3" s="1"/>
  <c r="Y14" i="3"/>
  <c r="Z14" i="3" s="1"/>
  <c r="Y15" i="3"/>
  <c r="Z15" i="3" s="1"/>
  <c r="Y17" i="3"/>
  <c r="Z17" i="3" s="1"/>
  <c r="Y20" i="3"/>
  <c r="Z20" i="3" s="1"/>
  <c r="Y23" i="3"/>
  <c r="Z23" i="3" s="1"/>
  <c r="Y24" i="3"/>
  <c r="Z24" i="3" s="1"/>
  <c r="Y25" i="3"/>
  <c r="Z25" i="3" s="1"/>
  <c r="Y27" i="3"/>
  <c r="Z27" i="3" s="1"/>
  <c r="Y28" i="3"/>
  <c r="Z28" i="3" s="1"/>
  <c r="Y29" i="3"/>
  <c r="Z29" i="3" s="1"/>
  <c r="Y30" i="3"/>
  <c r="Z30" i="3" s="1"/>
  <c r="Y31" i="3"/>
  <c r="Z31" i="3" s="1"/>
  <c r="Y34" i="3"/>
  <c r="Z34" i="3" s="1"/>
  <c r="Y4" i="3"/>
  <c r="Z4" i="3" s="1"/>
  <c r="T20" i="3"/>
  <c r="S23" i="3"/>
  <c r="T23" i="3" s="1"/>
  <c r="S25" i="3"/>
  <c r="T25" i="3" s="1"/>
  <c r="S27" i="3"/>
  <c r="T27" i="3" s="1"/>
  <c r="S28" i="3"/>
  <c r="T28" i="3" s="1"/>
  <c r="S29" i="3"/>
  <c r="T29" i="3" s="1"/>
  <c r="S30" i="3"/>
  <c r="T30" i="3" s="1"/>
  <c r="S31" i="3"/>
  <c r="T31" i="3" s="1"/>
  <c r="S34" i="3"/>
  <c r="T34" i="3" s="1"/>
  <c r="T17" i="3"/>
  <c r="T15" i="3"/>
  <c r="T14" i="3"/>
  <c r="T13" i="3"/>
  <c r="T12" i="3"/>
  <c r="T11" i="3"/>
  <c r="T8" i="3"/>
  <c r="T7" i="3"/>
  <c r="L7" i="3"/>
  <c r="L8" i="3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20" i="3"/>
  <c r="M20" i="3" s="1"/>
  <c r="L23" i="3"/>
  <c r="M23" i="3" s="1"/>
  <c r="L24" i="3"/>
  <c r="M24" i="3" s="1"/>
  <c r="L25" i="3"/>
  <c r="M25" i="3" s="1"/>
  <c r="L27" i="3"/>
  <c r="M27" i="3" s="1"/>
  <c r="L28" i="3"/>
  <c r="M28" i="3" s="1"/>
  <c r="L29" i="3"/>
  <c r="M29" i="3" s="1"/>
  <c r="L30" i="3"/>
  <c r="M30" i="3" s="1"/>
  <c r="L31" i="3"/>
  <c r="M31" i="3" s="1"/>
  <c r="L34" i="3"/>
  <c r="M34" i="3" s="1"/>
  <c r="L4" i="3"/>
  <c r="M4" i="3" s="1"/>
  <c r="H34" i="3"/>
  <c r="H31" i="3"/>
  <c r="I31" i="3" s="1"/>
  <c r="H30" i="3"/>
  <c r="H29" i="3"/>
  <c r="I29" i="3" s="1"/>
  <c r="H28" i="3"/>
  <c r="I28" i="3" s="1"/>
  <c r="H27" i="3"/>
  <c r="I27" i="3" s="1"/>
  <c r="H25" i="3"/>
  <c r="I25" i="3" s="1"/>
  <c r="H24" i="3"/>
  <c r="I24" i="3" s="1"/>
  <c r="H23" i="3"/>
  <c r="I23" i="3" s="1"/>
  <c r="H20" i="3"/>
  <c r="I20" i="3" s="1"/>
  <c r="H17" i="3"/>
  <c r="I17" i="3" s="1"/>
  <c r="H15" i="3"/>
  <c r="I15" i="3" s="1"/>
  <c r="H14" i="3"/>
  <c r="I14" i="3" s="1"/>
  <c r="H13" i="3"/>
  <c r="I13" i="3" s="1"/>
  <c r="H12" i="3"/>
  <c r="H11" i="3"/>
  <c r="I11" i="3" s="1"/>
  <c r="I8" i="3"/>
  <c r="I7" i="3"/>
  <c r="H4" i="3"/>
  <c r="I4" i="3" s="1"/>
  <c r="J33" i="2"/>
  <c r="J32" i="2"/>
  <c r="J30" i="2"/>
  <c r="J22" i="2"/>
  <c r="J21" i="2"/>
  <c r="J20" i="2"/>
  <c r="J19" i="2"/>
  <c r="J13" i="2"/>
  <c r="J10" i="2"/>
  <c r="J7" i="2"/>
  <c r="J5" i="2"/>
  <c r="J6" i="2" s="1"/>
  <c r="J4" i="2"/>
  <c r="J38" i="2" l="1"/>
  <c r="AK38" i="2"/>
  <c r="AR38" i="2"/>
  <c r="BF38" i="2"/>
  <c r="U42" i="2"/>
  <c r="T36" i="2"/>
  <c r="AL7" i="2"/>
  <c r="AK8" i="2"/>
  <c r="AL13" i="2"/>
  <c r="AK14" i="2"/>
  <c r="AL10" i="2"/>
  <c r="AK11" i="2"/>
  <c r="U41" i="2"/>
  <c r="Y41" i="2" s="1"/>
  <c r="Z41" i="2" s="1"/>
  <c r="K32" i="2"/>
  <c r="T32" i="2" s="1"/>
  <c r="K33" i="2"/>
  <c r="T33" i="2" s="1"/>
  <c r="K30" i="2"/>
  <c r="T30" i="2" s="1"/>
  <c r="K5" i="2"/>
  <c r="K38" i="2" s="1"/>
  <c r="K7" i="2"/>
  <c r="K10" i="2"/>
  <c r="K4" i="2"/>
  <c r="K43" i="2"/>
  <c r="T43" i="2" s="1"/>
  <c r="K13" i="2"/>
  <c r="Y13" i="2" s="1"/>
  <c r="Z13" i="2" s="1"/>
  <c r="T44" i="2"/>
  <c r="AF25" i="2"/>
  <c r="AF29" i="2"/>
  <c r="AF24" i="2"/>
  <c r="AF28" i="2"/>
  <c r="K21" i="2"/>
  <c r="T21" i="2" s="1"/>
  <c r="AF27" i="2"/>
  <c r="AF21" i="2"/>
  <c r="AF31" i="2"/>
  <c r="AF26" i="2"/>
  <c r="AF19" i="2"/>
  <c r="AF16" i="2"/>
  <c r="K20" i="2"/>
  <c r="T20" i="2" s="1"/>
  <c r="AF20" i="2"/>
  <c r="K22" i="2"/>
  <c r="T22" i="2" s="1"/>
  <c r="K19" i="2"/>
  <c r="T19" i="2" s="1"/>
  <c r="AK37" i="2"/>
  <c r="M8" i="3"/>
  <c r="M7" i="3"/>
  <c r="AF4" i="2"/>
  <c r="AF5" i="2"/>
  <c r="AF38" i="2" s="1"/>
  <c r="AL37" i="2"/>
  <c r="AN4" i="3"/>
  <c r="AN23" i="3"/>
  <c r="AN12" i="3"/>
  <c r="AN7" i="3"/>
  <c r="AN11" i="3"/>
  <c r="I30" i="3"/>
  <c r="I12" i="3"/>
  <c r="I34" i="3"/>
  <c r="Y42" i="2" l="1"/>
  <c r="U36" i="2"/>
  <c r="U19" i="2"/>
  <c r="Y19" i="2" s="1"/>
  <c r="Z19" i="2" s="1"/>
  <c r="U21" i="2"/>
  <c r="Y21" i="2" s="1"/>
  <c r="Z21" i="2" s="1"/>
  <c r="U43" i="2"/>
  <c r="Y43" i="2" s="1"/>
  <c r="Z43" i="2" s="1"/>
  <c r="U20" i="2"/>
  <c r="Y20" i="2" s="1"/>
  <c r="Z20" i="2" s="1"/>
  <c r="Y10" i="2"/>
  <c r="Z10" i="2" s="1"/>
  <c r="AF10" i="2" s="1"/>
  <c r="U44" i="2"/>
  <c r="Y44" i="2" s="1"/>
  <c r="Z44" i="2" s="1"/>
  <c r="U32" i="2"/>
  <c r="Y32" i="2" s="1"/>
  <c r="Z32" i="2" s="1"/>
  <c r="Z4" i="2"/>
  <c r="U30" i="2"/>
  <c r="Y30" i="2" s="1"/>
  <c r="Z30" i="2" s="1"/>
  <c r="K37" i="2"/>
  <c r="AF7" i="2"/>
  <c r="U22" i="2"/>
  <c r="Y22" i="2" s="1"/>
  <c r="Z22" i="2" s="1"/>
  <c r="AF22" i="2" s="1"/>
  <c r="AF37" i="2"/>
  <c r="AX22" i="3"/>
  <c r="AW22" i="3"/>
  <c r="AV22" i="3"/>
  <c r="AU22" i="3"/>
  <c r="AR22" i="3"/>
  <c r="AQ22" i="3"/>
  <c r="AP22" i="3"/>
  <c r="AO22" i="3"/>
  <c r="AL22" i="3"/>
  <c r="AK22" i="3"/>
  <c r="AJ22" i="3"/>
  <c r="AI22" i="3"/>
  <c r="AH22" i="3"/>
  <c r="AG22" i="3"/>
  <c r="AD22" i="3"/>
  <c r="AC22" i="3"/>
  <c r="AB22" i="3"/>
  <c r="AA22" i="3"/>
  <c r="X22" i="3"/>
  <c r="W22" i="3"/>
  <c r="V22" i="3"/>
  <c r="U22" i="3"/>
  <c r="R22" i="3"/>
  <c r="Q22" i="3"/>
  <c r="P22" i="3"/>
  <c r="O22" i="3"/>
  <c r="N22" i="3"/>
  <c r="K22" i="3"/>
  <c r="J22" i="3"/>
  <c r="L22" i="3" s="1"/>
  <c r="M22" i="3" s="1"/>
  <c r="G22" i="3"/>
  <c r="F22" i="3"/>
  <c r="D22" i="3"/>
  <c r="AX16" i="3"/>
  <c r="AW16" i="3"/>
  <c r="AV16" i="3"/>
  <c r="AU16" i="3"/>
  <c r="AR16" i="3"/>
  <c r="AQ16" i="3"/>
  <c r="AP16" i="3"/>
  <c r="AO16" i="3"/>
  <c r="AJ16" i="3"/>
  <c r="AG16" i="3"/>
  <c r="AB16" i="3"/>
  <c r="AE16" i="3" s="1"/>
  <c r="AF16" i="3" s="1"/>
  <c r="X16" i="3"/>
  <c r="V16" i="3"/>
  <c r="R16" i="3"/>
  <c r="AH16" i="3"/>
  <c r="AK21" i="3"/>
  <c r="AG21" i="3"/>
  <c r="AC21" i="3"/>
  <c r="AB21" i="3"/>
  <c r="AA21" i="3"/>
  <c r="V21" i="3"/>
  <c r="U21" i="3"/>
  <c r="Y21" i="3" s="1"/>
  <c r="Z21" i="3" s="1"/>
  <c r="Q21" i="3"/>
  <c r="P21" i="3"/>
  <c r="O21" i="3"/>
  <c r="K21" i="3"/>
  <c r="J21" i="3"/>
  <c r="G21" i="3"/>
  <c r="F21" i="3"/>
  <c r="C21" i="3"/>
  <c r="U38" i="2" l="1"/>
  <c r="Z42" i="2"/>
  <c r="Z36" i="2" s="1"/>
  <c r="Y36" i="2"/>
  <c r="Y38" i="2" s="1"/>
  <c r="Z5" i="2"/>
  <c r="U6" i="2"/>
  <c r="U8" i="2"/>
  <c r="U37" i="2"/>
  <c r="Y37" i="2" s="1"/>
  <c r="Y22" i="3"/>
  <c r="Z22" i="3" s="1"/>
  <c r="AS22" i="3"/>
  <c r="AT22" i="3" s="1"/>
  <c r="AY16" i="3"/>
  <c r="AZ16" i="3" s="1"/>
  <c r="S21" i="3"/>
  <c r="T21" i="3" s="1"/>
  <c r="S22" i="3"/>
  <c r="T22" i="3" s="1"/>
  <c r="AM21" i="3"/>
  <c r="AN21" i="3" s="1"/>
  <c r="AE22" i="3"/>
  <c r="AF22" i="3" s="1"/>
  <c r="AS16" i="3"/>
  <c r="AT16" i="3" s="1"/>
  <c r="AY22" i="3"/>
  <c r="AZ22" i="3" s="1"/>
  <c r="AM22" i="3"/>
  <c r="AN22" i="3" s="1"/>
  <c r="AM16" i="3"/>
  <c r="AE21" i="3"/>
  <c r="AF21" i="3" s="1"/>
  <c r="L21" i="3"/>
  <c r="M21" i="3" s="1"/>
  <c r="H21" i="3"/>
  <c r="I21" i="3" s="1"/>
  <c r="H22" i="3"/>
  <c r="I22" i="3" s="1"/>
  <c r="AW18" i="3"/>
  <c r="AX18" i="3"/>
  <c r="AR18" i="3"/>
  <c r="AU18" i="3"/>
  <c r="AV18" i="3"/>
  <c r="AO18" i="3"/>
  <c r="AP18" i="3"/>
  <c r="AQ18" i="3"/>
  <c r="AL18" i="3"/>
  <c r="AJ18" i="3"/>
  <c r="AK18" i="3"/>
  <c r="AI18" i="3"/>
  <c r="AH18" i="3"/>
  <c r="AC18" i="3"/>
  <c r="AD18" i="3"/>
  <c r="AB18" i="3"/>
  <c r="X18" i="3"/>
  <c r="W18" i="3"/>
  <c r="F18" i="3"/>
  <c r="G18" i="3"/>
  <c r="J18" i="3"/>
  <c r="K18" i="3"/>
  <c r="R18" i="3"/>
  <c r="V18" i="3"/>
  <c r="U16" i="3"/>
  <c r="Y16" i="3" s="1"/>
  <c r="Z16" i="3" s="1"/>
  <c r="Q16" i="3"/>
  <c r="P16" i="3"/>
  <c r="O16" i="3"/>
  <c r="N16" i="3"/>
  <c r="C16" i="3"/>
  <c r="H16" i="3" s="1"/>
  <c r="Z38" i="2" l="1"/>
  <c r="Z6" i="2"/>
  <c r="Z8" i="2"/>
  <c r="Z37" i="2"/>
  <c r="S16" i="3"/>
  <c r="T16" i="3" s="1"/>
  <c r="AS18" i="3"/>
  <c r="AT18" i="3" s="1"/>
  <c r="AY18" i="3"/>
  <c r="AZ18" i="3" s="1"/>
  <c r="AN16" i="3"/>
  <c r="L18" i="3"/>
  <c r="M18" i="3" s="1"/>
  <c r="I16" i="3"/>
  <c r="AB34" i="2"/>
  <c r="F33" i="3" l="1"/>
  <c r="G33" i="3"/>
  <c r="J33" i="3"/>
  <c r="K33" i="3"/>
  <c r="N33" i="3"/>
  <c r="O33" i="3"/>
  <c r="P33" i="3"/>
  <c r="Q33" i="3"/>
  <c r="R33" i="3"/>
  <c r="U33" i="3"/>
  <c r="V33" i="3"/>
  <c r="W33" i="3"/>
  <c r="X33" i="3"/>
  <c r="AA33" i="3"/>
  <c r="AB33" i="3"/>
  <c r="AC33" i="3"/>
  <c r="AD33" i="3"/>
  <c r="AG33" i="3"/>
  <c r="AH33" i="3"/>
  <c r="AI33" i="3"/>
  <c r="AJ33" i="3"/>
  <c r="AK33" i="3"/>
  <c r="AL33" i="3"/>
  <c r="AO33" i="3"/>
  <c r="AP33" i="3"/>
  <c r="AQ33" i="3"/>
  <c r="AR33" i="3"/>
  <c r="AU33" i="3"/>
  <c r="AV33" i="3"/>
  <c r="AW33" i="3"/>
  <c r="AX33" i="3"/>
  <c r="C33" i="3"/>
  <c r="D33" i="3"/>
  <c r="E33" i="3"/>
  <c r="H33" i="3" l="1"/>
  <c r="I33" i="3" s="1"/>
  <c r="AS33" i="3"/>
  <c r="AT33" i="3" s="1"/>
  <c r="AY33" i="3"/>
  <c r="AZ33" i="3" s="1"/>
  <c r="AM33" i="3"/>
  <c r="Y33" i="3"/>
  <c r="Z33" i="3" s="1"/>
  <c r="AE33" i="3"/>
  <c r="AF33" i="3" s="1"/>
  <c r="S33" i="3"/>
  <c r="T33" i="3" s="1"/>
  <c r="L33" i="3"/>
  <c r="M33" i="3" s="1"/>
  <c r="C5" i="3"/>
  <c r="D6" i="3"/>
  <c r="D9" i="3" s="1"/>
  <c r="F6" i="3"/>
  <c r="F9" i="3" s="1"/>
  <c r="G6" i="3"/>
  <c r="G9" i="3" s="1"/>
  <c r="J6" i="3"/>
  <c r="J9" i="3" s="1"/>
  <c r="K6" i="3"/>
  <c r="K9" i="3" s="1"/>
  <c r="N6" i="3"/>
  <c r="O6" i="3"/>
  <c r="O9" i="3" s="1"/>
  <c r="P6" i="3"/>
  <c r="P9" i="3" s="1"/>
  <c r="Q6" i="3"/>
  <c r="Q9" i="3" s="1"/>
  <c r="R6" i="3"/>
  <c r="R9" i="3" s="1"/>
  <c r="U6" i="3"/>
  <c r="U9" i="3" s="1"/>
  <c r="V6" i="3"/>
  <c r="V9" i="3" s="1"/>
  <c r="W6" i="3"/>
  <c r="W9" i="3" s="1"/>
  <c r="X6" i="3"/>
  <c r="X9" i="3" s="1"/>
  <c r="AA6" i="3"/>
  <c r="AA9" i="3" s="1"/>
  <c r="AB6" i="3"/>
  <c r="AB9" i="3" s="1"/>
  <c r="AC6" i="3"/>
  <c r="AC9" i="3" s="1"/>
  <c r="AD6" i="3"/>
  <c r="AD9" i="3" s="1"/>
  <c r="AG6" i="3"/>
  <c r="AG9" i="3" s="1"/>
  <c r="AH6" i="3"/>
  <c r="AH9" i="3" s="1"/>
  <c r="AI6" i="3"/>
  <c r="AI9" i="3" s="1"/>
  <c r="AJ6" i="3"/>
  <c r="AJ9" i="3" s="1"/>
  <c r="AK6" i="3"/>
  <c r="AK9" i="3" s="1"/>
  <c r="AL6" i="3"/>
  <c r="AL9" i="3" s="1"/>
  <c r="AO6" i="3"/>
  <c r="AO9" i="3" s="1"/>
  <c r="AP6" i="3"/>
  <c r="AP9" i="3" s="1"/>
  <c r="AQ6" i="3"/>
  <c r="AQ9" i="3" s="1"/>
  <c r="AR6" i="3"/>
  <c r="AR9" i="3" s="1"/>
  <c r="AU6" i="3"/>
  <c r="AU9" i="3" s="1"/>
  <c r="AV6" i="3"/>
  <c r="AV9" i="3" s="1"/>
  <c r="AW6" i="3"/>
  <c r="AW9" i="3" s="1"/>
  <c r="AX6" i="3"/>
  <c r="AX9" i="3" s="1"/>
  <c r="C6" i="3"/>
  <c r="C9" i="3" s="1"/>
  <c r="F5" i="3"/>
  <c r="G5" i="3"/>
  <c r="J5" i="3"/>
  <c r="K5" i="3"/>
  <c r="K19" i="3" s="1"/>
  <c r="N5" i="3"/>
  <c r="O5" i="3"/>
  <c r="P5" i="3"/>
  <c r="Q5" i="3"/>
  <c r="R5" i="3"/>
  <c r="U5" i="3"/>
  <c r="V5" i="3"/>
  <c r="V19" i="3" s="1"/>
  <c r="W5" i="3"/>
  <c r="X5" i="3"/>
  <c r="X19" i="3" s="1"/>
  <c r="AA5" i="3"/>
  <c r="AB5" i="3"/>
  <c r="AB19" i="3" s="1"/>
  <c r="AC5" i="3"/>
  <c r="AD5" i="3"/>
  <c r="AG5" i="3"/>
  <c r="AH5" i="3"/>
  <c r="AH19" i="3" s="1"/>
  <c r="AI5" i="3"/>
  <c r="AJ5" i="3"/>
  <c r="AJ19" i="3" s="1"/>
  <c r="AK5" i="3"/>
  <c r="AK19" i="3" s="1"/>
  <c r="AL5" i="3"/>
  <c r="AL19" i="3" s="1"/>
  <c r="AO5" i="3"/>
  <c r="AP5" i="3"/>
  <c r="AQ5" i="3"/>
  <c r="AQ19" i="3" s="1"/>
  <c r="AR5" i="3"/>
  <c r="AR19" i="3" s="1"/>
  <c r="AU5" i="3"/>
  <c r="AV5" i="3"/>
  <c r="AV19" i="3" s="1"/>
  <c r="AW5" i="3"/>
  <c r="AW19" i="3" s="1"/>
  <c r="AX5" i="3"/>
  <c r="AX19" i="3" s="1"/>
  <c r="S6" i="3" l="1"/>
  <c r="S9" i="3" s="1"/>
  <c r="N9" i="3"/>
  <c r="H6" i="3"/>
  <c r="S5" i="3"/>
  <c r="T5" i="3" s="1"/>
  <c r="AS5" i="3"/>
  <c r="AT5" i="3" s="1"/>
  <c r="AS6" i="3"/>
  <c r="AU19" i="3"/>
  <c r="AY19" i="3" s="1"/>
  <c r="AZ19" i="3" s="1"/>
  <c r="AY5" i="3"/>
  <c r="AZ5" i="3" s="1"/>
  <c r="AY6" i="3"/>
  <c r="AM5" i="3"/>
  <c r="AM6" i="3"/>
  <c r="AM9" i="3" s="1"/>
  <c r="AN33" i="3"/>
  <c r="AI19" i="3"/>
  <c r="AE6" i="3"/>
  <c r="AE5" i="3"/>
  <c r="AF5" i="3" s="1"/>
  <c r="Y6" i="3"/>
  <c r="Y5" i="3"/>
  <c r="Z5" i="3" s="1"/>
  <c r="W19" i="3"/>
  <c r="L6" i="3"/>
  <c r="J19" i="3"/>
  <c r="L19" i="3" s="1"/>
  <c r="M19" i="3" s="1"/>
  <c r="L5" i="3"/>
  <c r="M5" i="3" s="1"/>
  <c r="C35" i="3"/>
  <c r="G19" i="3"/>
  <c r="AJ32" i="3"/>
  <c r="AJ35" i="3"/>
  <c r="P32" i="3"/>
  <c r="P35" i="3"/>
  <c r="Q32" i="3"/>
  <c r="Q35" i="3"/>
  <c r="O32" i="3"/>
  <c r="O35" i="3"/>
  <c r="AG32" i="3"/>
  <c r="AG35" i="3"/>
  <c r="AB32" i="3"/>
  <c r="AB35" i="3"/>
  <c r="AX32" i="3"/>
  <c r="AX35" i="3"/>
  <c r="AW32" i="3"/>
  <c r="AW35" i="3"/>
  <c r="AV32" i="3"/>
  <c r="AV35" i="3"/>
  <c r="AR32" i="3"/>
  <c r="AR35" i="3"/>
  <c r="AQ32" i="3"/>
  <c r="AQ35" i="3"/>
  <c r="AD32" i="3"/>
  <c r="AD35" i="3"/>
  <c r="AU32" i="3"/>
  <c r="AU35" i="3"/>
  <c r="K32" i="3"/>
  <c r="K35" i="3"/>
  <c r="AA32" i="3"/>
  <c r="AA35" i="3"/>
  <c r="R32" i="3"/>
  <c r="R35" i="3"/>
  <c r="AI32" i="3"/>
  <c r="AI35" i="3"/>
  <c r="AH32" i="3"/>
  <c r="AH35" i="3"/>
  <c r="N32" i="3"/>
  <c r="N35" i="3"/>
  <c r="AC32" i="3"/>
  <c r="AC35" i="3"/>
  <c r="J32" i="3"/>
  <c r="J35" i="3"/>
  <c r="G32" i="3"/>
  <c r="G35" i="3"/>
  <c r="AP32" i="3"/>
  <c r="AP35" i="3"/>
  <c r="X32" i="3"/>
  <c r="X35" i="3"/>
  <c r="F32" i="3"/>
  <c r="F35" i="3"/>
  <c r="AO32" i="3"/>
  <c r="AO35" i="3"/>
  <c r="W32" i="3"/>
  <c r="W35" i="3"/>
  <c r="E32" i="3"/>
  <c r="E35" i="3"/>
  <c r="AL32" i="3"/>
  <c r="AL35" i="3"/>
  <c r="V32" i="3"/>
  <c r="V35" i="3"/>
  <c r="D32" i="3"/>
  <c r="D35" i="3"/>
  <c r="AK32" i="3"/>
  <c r="AK35" i="3"/>
  <c r="U32" i="3"/>
  <c r="U35" i="3"/>
  <c r="F19" i="3"/>
  <c r="R19" i="3"/>
  <c r="AD19" i="3"/>
  <c r="AP19" i="3"/>
  <c r="AO19" i="3"/>
  <c r="AC19" i="3"/>
  <c r="D34" i="2"/>
  <c r="D35" i="2" s="1"/>
  <c r="E34" i="2"/>
  <c r="E35" i="2" s="1"/>
  <c r="F34" i="2"/>
  <c r="G34" i="2"/>
  <c r="H34" i="2"/>
  <c r="H35" i="2" s="1"/>
  <c r="I34" i="2"/>
  <c r="I35" i="2" s="1"/>
  <c r="L34" i="2"/>
  <c r="M34" i="2"/>
  <c r="M35" i="2" s="1"/>
  <c r="O35" i="2"/>
  <c r="V34" i="2"/>
  <c r="V35" i="2" s="1"/>
  <c r="P34" i="2"/>
  <c r="P35" i="2" s="1"/>
  <c r="W34" i="2"/>
  <c r="W35" i="2" s="1"/>
  <c r="X34" i="2"/>
  <c r="X35" i="2" s="1"/>
  <c r="AA34" i="2"/>
  <c r="AB35" i="2"/>
  <c r="AC34" i="2"/>
  <c r="AC35" i="2" s="1"/>
  <c r="AG34" i="2"/>
  <c r="AG35" i="2" s="1"/>
  <c r="AH34" i="2"/>
  <c r="AI34" i="2"/>
  <c r="AI35" i="2" s="1"/>
  <c r="AJ34" i="2"/>
  <c r="AJ35" i="2" s="1"/>
  <c r="AM34" i="2"/>
  <c r="AN34" i="2"/>
  <c r="AN35" i="2" s="1"/>
  <c r="AO34" i="2"/>
  <c r="AO35" i="2" s="1"/>
  <c r="AP34" i="2"/>
  <c r="AP35" i="2" s="1"/>
  <c r="AQ34" i="2"/>
  <c r="AQ35" i="2" s="1"/>
  <c r="AT34" i="2"/>
  <c r="AT35" i="2" s="1"/>
  <c r="AU34" i="2"/>
  <c r="AU35" i="2" s="1"/>
  <c r="AV34" i="2"/>
  <c r="AV35" i="2" s="1"/>
  <c r="AW34" i="2"/>
  <c r="AW35" i="2" s="1"/>
  <c r="AX34" i="2"/>
  <c r="AY34" i="2"/>
  <c r="AY35" i="2" s="1"/>
  <c r="BB34" i="2"/>
  <c r="BC34" i="2"/>
  <c r="BC35" i="2" s="1"/>
  <c r="BD34" i="2"/>
  <c r="BD35" i="2" s="1"/>
  <c r="C34" i="2"/>
  <c r="G35" i="2" l="1"/>
  <c r="J34" i="2"/>
  <c r="K34" i="2" s="1"/>
  <c r="AE34" i="2"/>
  <c r="AF34" i="2" s="1"/>
  <c r="T6" i="3"/>
  <c r="M6" i="3"/>
  <c r="M9" i="3" s="1"/>
  <c r="L9" i="3"/>
  <c r="AZ6" i="3"/>
  <c r="AZ9" i="3" s="1"/>
  <c r="AY9" i="3"/>
  <c r="AT6" i="3"/>
  <c r="AT9" i="3" s="1"/>
  <c r="AS9" i="3"/>
  <c r="Z6" i="3"/>
  <c r="Z9" i="3" s="1"/>
  <c r="Y9" i="3"/>
  <c r="AF6" i="3"/>
  <c r="AF9" i="3" s="1"/>
  <c r="AE9" i="3"/>
  <c r="AS19" i="3"/>
  <c r="AT19" i="3" s="1"/>
  <c r="I6" i="3"/>
  <c r="I9" i="3" s="1"/>
  <c r="H9" i="3"/>
  <c r="BB35" i="2"/>
  <c r="BE35" i="2" s="1"/>
  <c r="BF35" i="2" s="1"/>
  <c r="BE34" i="2"/>
  <c r="BF34" i="2" s="1"/>
  <c r="AH35" i="2"/>
  <c r="AK35" i="2" s="1"/>
  <c r="AL35" i="2" s="1"/>
  <c r="AK34" i="2"/>
  <c r="AL34" i="2" s="1"/>
  <c r="AM35" i="2"/>
  <c r="AR35" i="2" s="1"/>
  <c r="AS35" i="2" s="1"/>
  <c r="AR34" i="2"/>
  <c r="AS34" i="2" s="1"/>
  <c r="AZ34" i="2"/>
  <c r="BA34" i="2" s="1"/>
  <c r="AZ35" i="2"/>
  <c r="BA35" i="2" s="1"/>
  <c r="AA35" i="2"/>
  <c r="AY32" i="3"/>
  <c r="AZ32" i="3" s="1"/>
  <c r="L35" i="2"/>
  <c r="Y32" i="3"/>
  <c r="Z32" i="3" s="1"/>
  <c r="AE32" i="3"/>
  <c r="AF32" i="3" s="1"/>
  <c r="AS35" i="3"/>
  <c r="AT35" i="3" s="1"/>
  <c r="AS32" i="3"/>
  <c r="AT32" i="3" s="1"/>
  <c r="AY35" i="3"/>
  <c r="AZ35" i="3" s="1"/>
  <c r="AM35" i="3"/>
  <c r="AN6" i="3"/>
  <c r="AN9" i="3" s="1"/>
  <c r="AM32" i="3"/>
  <c r="Y35" i="3"/>
  <c r="Z35" i="3" s="1"/>
  <c r="L35" i="3"/>
  <c r="M35" i="3" s="1"/>
  <c r="AE35" i="3"/>
  <c r="AF35" i="3" s="1"/>
  <c r="AN5" i="3"/>
  <c r="S32" i="3"/>
  <c r="T32" i="3" s="1"/>
  <c r="S35" i="3"/>
  <c r="T35" i="3" s="1"/>
  <c r="L32" i="3"/>
  <c r="M32" i="3" s="1"/>
  <c r="H32" i="3"/>
  <c r="I32" i="3" s="1"/>
  <c r="H35" i="3"/>
  <c r="I35" i="3" s="1"/>
  <c r="C35" i="2"/>
  <c r="D15" i="2"/>
  <c r="E15" i="2"/>
  <c r="F15" i="2"/>
  <c r="G15" i="2"/>
  <c r="H15" i="2"/>
  <c r="I15" i="2"/>
  <c r="AA15" i="2"/>
  <c r="AB15" i="2"/>
  <c r="AC15" i="2"/>
  <c r="AD15" i="2"/>
  <c r="AG15" i="2"/>
  <c r="AH15" i="2"/>
  <c r="AI15" i="2"/>
  <c r="AJ15" i="2"/>
  <c r="AM15" i="2"/>
  <c r="AN15" i="2"/>
  <c r="AO15" i="2"/>
  <c r="AP15" i="2"/>
  <c r="AQ15" i="2"/>
  <c r="AT15" i="2"/>
  <c r="AU15" i="2"/>
  <c r="AV15" i="2"/>
  <c r="AW15" i="2"/>
  <c r="AX15" i="2"/>
  <c r="AY15" i="2"/>
  <c r="BB15" i="2"/>
  <c r="BC15" i="2"/>
  <c r="BD15" i="2"/>
  <c r="C15" i="2"/>
  <c r="C12" i="2"/>
  <c r="D12" i="2"/>
  <c r="E12" i="2"/>
  <c r="F12" i="2"/>
  <c r="G12" i="2"/>
  <c r="H12" i="2"/>
  <c r="AA12" i="2"/>
  <c r="AB12" i="2"/>
  <c r="AC12" i="2"/>
  <c r="AD12" i="2"/>
  <c r="AG12" i="2"/>
  <c r="AH12" i="2"/>
  <c r="AI12" i="2"/>
  <c r="AJ12" i="2"/>
  <c r="AM12" i="2"/>
  <c r="AN12" i="2"/>
  <c r="AO12" i="2"/>
  <c r="AP12" i="2"/>
  <c r="AQ12" i="2"/>
  <c r="AT12" i="2"/>
  <c r="AU12" i="2"/>
  <c r="AV12" i="2"/>
  <c r="AW12" i="2"/>
  <c r="AX12" i="2"/>
  <c r="AY12" i="2"/>
  <c r="BB12" i="2"/>
  <c r="BC12" i="2"/>
  <c r="BD12" i="2"/>
  <c r="I12" i="2"/>
  <c r="C9" i="2"/>
  <c r="D9" i="2"/>
  <c r="E9" i="2"/>
  <c r="F9" i="2"/>
  <c r="G9" i="2"/>
  <c r="H9" i="2"/>
  <c r="I9" i="2"/>
  <c r="AA9" i="2"/>
  <c r="AB9" i="2"/>
  <c r="AC9" i="2"/>
  <c r="AD9" i="2"/>
  <c r="AG9" i="2"/>
  <c r="AH9" i="2"/>
  <c r="AI9" i="2"/>
  <c r="AJ9" i="2"/>
  <c r="AM9" i="2"/>
  <c r="AN9" i="2"/>
  <c r="AO9" i="2"/>
  <c r="AP9" i="2"/>
  <c r="J35" i="2" l="1"/>
  <c r="K35" i="2" s="1"/>
  <c r="AR9" i="2"/>
  <c r="AS9" i="2" s="1"/>
  <c r="Y12" i="2"/>
  <c r="Z12" i="2" s="1"/>
  <c r="AE35" i="2"/>
  <c r="AF35" i="2" s="1"/>
  <c r="AE15" i="2"/>
  <c r="Y9" i="2"/>
  <c r="Z9" i="2" s="1"/>
  <c r="Y15" i="2"/>
  <c r="Z15" i="2" s="1"/>
  <c r="AE9" i="2"/>
  <c r="AF9" i="2" s="1"/>
  <c r="AE12" i="2"/>
  <c r="AZ12" i="2"/>
  <c r="BA12" i="2" s="1"/>
  <c r="AZ15" i="2"/>
  <c r="BA15" i="2" s="1"/>
  <c r="AK15" i="2"/>
  <c r="AL15" i="2" s="1"/>
  <c r="AR12" i="2"/>
  <c r="AS12" i="2" s="1"/>
  <c r="AR15" i="2"/>
  <c r="AS15" i="2" s="1"/>
  <c r="BE15" i="2"/>
  <c r="BF15" i="2" s="1"/>
  <c r="AK9" i="2"/>
  <c r="AL9" i="2" s="1"/>
  <c r="BE12" i="2"/>
  <c r="BF12" i="2" s="1"/>
  <c r="AK12" i="2"/>
  <c r="AL12" i="2" s="1"/>
  <c r="AN32" i="3"/>
  <c r="AN35" i="3"/>
  <c r="AF12" i="2" l="1"/>
  <c r="AF15" i="2"/>
  <c r="N24" i="3"/>
  <c r="S24" i="3" l="1"/>
  <c r="T24" i="3" s="1"/>
  <c r="D5" i="3" l="1"/>
  <c r="E5" i="3"/>
  <c r="O18" i="3"/>
  <c r="P18" i="3"/>
  <c r="Q18" i="3"/>
  <c r="U18" i="3"/>
  <c r="AA18" i="3"/>
  <c r="AE18" i="3" s="1"/>
  <c r="AF18" i="3" s="1"/>
  <c r="AG18" i="3"/>
  <c r="AM18" i="3" s="1"/>
  <c r="D18" i="3"/>
  <c r="E18" i="3"/>
  <c r="N18" i="3"/>
  <c r="C18" i="3"/>
  <c r="X8" i="2"/>
  <c r="X6" i="2"/>
  <c r="H6" i="2"/>
  <c r="H18" i="3" l="1"/>
  <c r="I18" i="3" s="1"/>
  <c r="S18" i="3"/>
  <c r="T18" i="3" s="1"/>
  <c r="H5" i="3"/>
  <c r="AN18" i="3"/>
  <c r="U19" i="3"/>
  <c r="Y19" i="3" s="1"/>
  <c r="Z19" i="3" s="1"/>
  <c r="Y18" i="3"/>
  <c r="Z18" i="3" s="1"/>
  <c r="C19" i="3"/>
  <c r="E19" i="3"/>
  <c r="AA19" i="3"/>
  <c r="AE19" i="3" s="1"/>
  <c r="AF19" i="3" s="1"/>
  <c r="Q19" i="3"/>
  <c r="P19" i="3"/>
  <c r="AG19" i="3"/>
  <c r="AM19" i="3" s="1"/>
  <c r="O19" i="3"/>
  <c r="N19" i="3"/>
  <c r="D19" i="3"/>
  <c r="S19" i="3" l="1"/>
  <c r="T19" i="3" s="1"/>
  <c r="AN19" i="3"/>
  <c r="H19" i="3"/>
  <c r="I19" i="3" s="1"/>
  <c r="I5" i="3"/>
  <c r="X17" i="2"/>
  <c r="X18" i="2" s="1"/>
  <c r="H17" i="2"/>
  <c r="H18" i="2" s="1"/>
  <c r="AQ17" i="2"/>
  <c r="AQ18" i="2" s="1"/>
  <c r="AT17" i="2"/>
  <c r="AT18" i="2" s="1"/>
  <c r="AU17" i="2"/>
  <c r="AU18" i="2" s="1"/>
  <c r="AV17" i="2"/>
  <c r="AV18" i="2" s="1"/>
  <c r="AW17" i="2"/>
  <c r="AW18" i="2" s="1"/>
  <c r="AX17" i="2"/>
  <c r="AY17" i="2"/>
  <c r="BB17" i="2"/>
  <c r="BC17" i="2"/>
  <c r="BC18" i="2" s="1"/>
  <c r="BD17" i="2"/>
  <c r="BD18" i="2" s="1"/>
  <c r="W17" i="2"/>
  <c r="W18" i="2" s="1"/>
  <c r="AA17" i="2"/>
  <c r="AB18" i="2"/>
  <c r="AC18" i="2"/>
  <c r="AD18" i="2"/>
  <c r="AG17" i="2"/>
  <c r="AG18" i="2" s="1"/>
  <c r="AH17" i="2"/>
  <c r="AI17" i="2"/>
  <c r="AI18" i="2" s="1"/>
  <c r="AJ17" i="2"/>
  <c r="AJ18" i="2" s="1"/>
  <c r="AM17" i="2"/>
  <c r="AN17" i="2"/>
  <c r="AN18" i="2" s="1"/>
  <c r="AO17" i="2"/>
  <c r="AO18" i="2" s="1"/>
  <c r="AP17" i="2"/>
  <c r="AP18" i="2" s="1"/>
  <c r="I17" i="2"/>
  <c r="I18" i="2" s="1"/>
  <c r="D17" i="2"/>
  <c r="D18" i="2" s="1"/>
  <c r="E17" i="2"/>
  <c r="E18" i="2" s="1"/>
  <c r="F17" i="2"/>
  <c r="G17" i="2"/>
  <c r="L17" i="2"/>
  <c r="M17" i="2"/>
  <c r="M18" i="2" s="1"/>
  <c r="O17" i="2"/>
  <c r="O18" i="2" s="1"/>
  <c r="V17" i="2"/>
  <c r="V18" i="2" s="1"/>
  <c r="P17" i="2"/>
  <c r="P18" i="2" s="1"/>
  <c r="C17" i="2"/>
  <c r="D6" i="2"/>
  <c r="G18" i="2" l="1"/>
  <c r="AK18" i="2"/>
  <c r="AL18" i="2" s="1"/>
  <c r="AZ18" i="2"/>
  <c r="BA18" i="2" s="1"/>
  <c r="AA18" i="2"/>
  <c r="AE18" i="2" s="1"/>
  <c r="AM18" i="2"/>
  <c r="AR18" i="2" s="1"/>
  <c r="AS18" i="2" s="1"/>
  <c r="AR17" i="2"/>
  <c r="AS17" i="2" s="1"/>
  <c r="BB18" i="2"/>
  <c r="BE18" i="2" s="1"/>
  <c r="BF18" i="2" s="1"/>
  <c r="BE17" i="2"/>
  <c r="BF17" i="2" s="1"/>
  <c r="AK17" i="2"/>
  <c r="AL17" i="2" s="1"/>
  <c r="AZ17" i="2"/>
  <c r="BA17" i="2" s="1"/>
  <c r="J17" i="2"/>
  <c r="L18" i="2"/>
  <c r="C18" i="2"/>
  <c r="C14" i="2"/>
  <c r="D14" i="2"/>
  <c r="E14" i="2"/>
  <c r="F14" i="2"/>
  <c r="G14" i="2"/>
  <c r="I14" i="2"/>
  <c r="AA14" i="2"/>
  <c r="AB14" i="2"/>
  <c r="AC14" i="2"/>
  <c r="AD14" i="2"/>
  <c r="AG14" i="2"/>
  <c r="AH14" i="2"/>
  <c r="AI14" i="2"/>
  <c r="AJ14" i="2"/>
  <c r="AM14" i="2"/>
  <c r="AN14" i="2"/>
  <c r="AO14" i="2"/>
  <c r="AP14" i="2"/>
  <c r="AQ14" i="2"/>
  <c r="AT14" i="2"/>
  <c r="AU14" i="2"/>
  <c r="AV14" i="2"/>
  <c r="AW14" i="2"/>
  <c r="AY14" i="2"/>
  <c r="BB14" i="2"/>
  <c r="BC14" i="2"/>
  <c r="BD14" i="2"/>
  <c r="D11" i="2"/>
  <c r="E11" i="2"/>
  <c r="F11" i="2"/>
  <c r="G11" i="2"/>
  <c r="I11" i="2"/>
  <c r="AA11" i="2"/>
  <c r="AB11" i="2"/>
  <c r="AC11" i="2"/>
  <c r="AD11" i="2"/>
  <c r="AG11" i="2"/>
  <c r="AH11" i="2"/>
  <c r="AL11" i="2" s="1"/>
  <c r="AI11" i="2"/>
  <c r="AJ11" i="2"/>
  <c r="AM11" i="2"/>
  <c r="AN11" i="2"/>
  <c r="AO11" i="2"/>
  <c r="AP11" i="2"/>
  <c r="AQ11" i="2"/>
  <c r="AT11" i="2"/>
  <c r="AU11" i="2"/>
  <c r="AV11" i="2"/>
  <c r="AW11" i="2"/>
  <c r="AY11" i="2"/>
  <c r="BB11" i="2"/>
  <c r="BC11" i="2"/>
  <c r="BD11" i="2"/>
  <c r="C11" i="2"/>
  <c r="D8" i="2"/>
  <c r="E8" i="2"/>
  <c r="F8" i="2"/>
  <c r="G8" i="2"/>
  <c r="I8" i="2"/>
  <c r="L8" i="2"/>
  <c r="M8" i="2"/>
  <c r="O8" i="2"/>
  <c r="V8" i="2"/>
  <c r="P8" i="2"/>
  <c r="W8" i="2"/>
  <c r="AA8" i="2"/>
  <c r="AB8" i="2"/>
  <c r="AC8" i="2"/>
  <c r="AD8" i="2"/>
  <c r="AG8" i="2"/>
  <c r="AH8" i="2"/>
  <c r="AI8" i="2"/>
  <c r="AJ8" i="2"/>
  <c r="AM8" i="2"/>
  <c r="AN8" i="2"/>
  <c r="AO8" i="2"/>
  <c r="AP8" i="2"/>
  <c r="AQ8" i="2"/>
  <c r="AT8" i="2"/>
  <c r="AU8" i="2"/>
  <c r="AV8" i="2"/>
  <c r="AW8" i="2"/>
  <c r="AY8" i="2"/>
  <c r="BB8" i="2"/>
  <c r="BC8" i="2"/>
  <c r="BD8" i="2"/>
  <c r="C8" i="2"/>
  <c r="AX6" i="2"/>
  <c r="AQ6" i="2"/>
  <c r="E6" i="2"/>
  <c r="F6" i="2"/>
  <c r="G6" i="2"/>
  <c r="I6" i="2"/>
  <c r="M6" i="2"/>
  <c r="O6" i="2"/>
  <c r="V6" i="2"/>
  <c r="P6" i="2"/>
  <c r="W6" i="2"/>
  <c r="AA6" i="2"/>
  <c r="AB6" i="2"/>
  <c r="AC6" i="2"/>
  <c r="AD6" i="2"/>
  <c r="AG6" i="2"/>
  <c r="AH6" i="2"/>
  <c r="AI6" i="2"/>
  <c r="AJ6" i="2"/>
  <c r="AM6" i="2"/>
  <c r="AN6" i="2"/>
  <c r="AO6" i="2"/>
  <c r="AP6" i="2"/>
  <c r="AT6" i="2"/>
  <c r="AU6" i="2"/>
  <c r="AV6" i="2"/>
  <c r="AW6" i="2"/>
  <c r="AY6" i="2"/>
  <c r="BB6" i="2"/>
  <c r="BC6" i="2"/>
  <c r="BD6" i="2"/>
  <c r="C6" i="2"/>
  <c r="AL8" i="2" l="1"/>
  <c r="AL14" i="2"/>
  <c r="Y11" i="2"/>
  <c r="Z11" i="2" s="1"/>
  <c r="AE14" i="2"/>
  <c r="Y14" i="2"/>
  <c r="Z14" i="2" s="1"/>
  <c r="AE11" i="2"/>
  <c r="AE8" i="2"/>
  <c r="AZ6" i="2"/>
  <c r="BA6" i="2" s="1"/>
  <c r="AR11" i="2"/>
  <c r="AS11" i="2" s="1"/>
  <c r="AE6" i="2"/>
  <c r="AF18" i="2"/>
  <c r="AR6" i="2"/>
  <c r="AS6" i="2" s="1"/>
  <c r="AR8" i="2"/>
  <c r="AS8" i="2" s="1"/>
  <c r="BE11" i="2"/>
  <c r="BF11" i="2" s="1"/>
  <c r="BE8" i="2"/>
  <c r="BF8" i="2" s="1"/>
  <c r="AZ14" i="2"/>
  <c r="BA14" i="2" s="1"/>
  <c r="K17" i="2"/>
  <c r="T17" i="2" s="1"/>
  <c r="AZ11" i="2"/>
  <c r="BA11" i="2" s="1"/>
  <c r="BE6" i="2"/>
  <c r="BF6" i="2" s="1"/>
  <c r="AK6" i="2"/>
  <c r="AL6" i="2" s="1"/>
  <c r="AZ8" i="2"/>
  <c r="BA8" i="2" s="1"/>
  <c r="AR14" i="2"/>
  <c r="AS14" i="2" s="1"/>
  <c r="BE14" i="2"/>
  <c r="BF14" i="2" s="1"/>
  <c r="J18" i="2"/>
  <c r="U17" i="2" l="1"/>
  <c r="Y17" i="2" s="1"/>
  <c r="Z17" i="2" s="1"/>
  <c r="AF11" i="2"/>
  <c r="AF6" i="2"/>
  <c r="AF14" i="2"/>
  <c r="K18" i="2"/>
  <c r="T18" i="2" s="1"/>
  <c r="AF8" i="2"/>
  <c r="U18" i="2" l="1"/>
  <c r="Y18" i="2" s="1"/>
  <c r="Z18" i="2" s="1"/>
  <c r="T4" i="3"/>
  <c r="T9" i="3" s="1"/>
  <c r="S34" i="2" l="1"/>
  <c r="S35" i="2" s="1"/>
  <c r="T34" i="2" l="1"/>
  <c r="U34" i="2" s="1"/>
  <c r="Y34" i="2" s="1"/>
  <c r="Z34" i="2" s="1"/>
  <c r="U33" i="2"/>
  <c r="Y33" i="2" s="1"/>
  <c r="Z33" i="2" s="1"/>
  <c r="U35" i="2"/>
  <c r="Y35" i="2" s="1"/>
  <c r="Z3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tc={39B1F29D-3108-4DDD-B577-7F5FF88032BE}</author>
    <author>tc={8B52C4E2-BE65-4F1F-8D85-52E83B9060F1}</author>
    <author>tc={6F4B0AFB-70C9-48DB-BEC6-97C653A12DA3}</author>
    <author>tc={60B4D2AD-BA10-44D1-89F9-4EA12AEFD59F}</author>
    <author>tc={F4E9D004-7098-468A-A331-B965AC3CCC93}</author>
    <author>tc={053C0388-321E-4DA8-A0EA-EAC9F79C0646}</author>
    <author>tc={43FE5D98-3711-45D5-8022-6A39891E3F1F}</author>
    <author>tc={C81B0283-BB5A-49A6-A696-DD7F86B1BDD5}</author>
    <author>tc={23676F3B-7C65-49E1-959E-3233F4625A5F}</author>
    <author>tc={4EEB7DF9-8F4A-4AA1-826E-4C7033B9AF72}</author>
  </authors>
  <commentList>
    <comment ref="C1" authorId="0" shapeId="0" xr:uid="{39B1F29D-3108-4DDD-B577-7F5FF88032BE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Distriktet omfatter kommunale enheter på øyene</t>
      </text>
    </comment>
    <comment ref="J1" authorId="1" shapeId="0" xr:uid="{8B52C4E2-BE65-4F1F-8D85-52E83B9060F1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Distriktet omfatter kommunale enheter på øyene</t>
      </text>
    </comment>
    <comment ref="AD2" authorId="2" shapeId="0" xr:uid="{6F4B0AFB-70C9-48DB-BEC6-97C653A12DA3}">
      <text>
        <t>[Threaded comment]
Your version of Excel allows you to read this threaded comment; however, any edits to it will get removed if the file is opened in a newer version of Excel. Learn more: https://go.microsoft.com/fwlink/?linkid=870924
Comment:
    Forsterket bhb- kapasitet uit fra godkjenning  og ikke areal ihht. vedtekter</t>
      </text>
    </comment>
    <comment ref="B11" authorId="3" shapeId="0" xr:uid="{60B4D2AD-BA10-44D1-89F9-4EA12AEFD59F}">
      <text>
        <t>[Threaded comment]
Your version of Excel allows you to read this threaded comment; however, any edits to it will get removed if the file is opened in a newer version of Excel. Learn more: https://go.microsoft.com/fwlink/?linkid=870924
Comment:
    Gjelder barn 1-5 år ved middels befolkningsvekstprognose</t>
      </text>
    </comment>
    <comment ref="C22" authorId="4" shapeId="0" xr:uid="{F4E9D004-7098-468A-A331-B965AC3CCC93}">
      <text>
        <t>[Threaded comment]
Your version of Excel allows you to read this threaded comment; however, any edits to it will get removed if the file is opened in a newer version of Excel. Learn more: https://go.microsoft.com/fwlink/?linkid=870924
Comment:
    Kun resultat for 2023</t>
      </text>
    </comment>
    <comment ref="J22" authorId="5" shapeId="0" xr:uid="{053C0388-321E-4DA8-A0EA-EAC9F79C0646}">
      <text>
        <t>[Threaded comment]
Your version of Excel allows you to read this threaded comment; however, any edits to it will get removed if the file is opened in a newer version of Excel. Learn more: https://go.microsoft.com/fwlink/?linkid=870924
Comment:
    Kun for 2020-2022
Reply:
    deltatt i 2019 og 2020. resultater derfor delt med 2 og ikke 3.</t>
      </text>
    </comment>
    <comment ref="K22" authorId="6" shapeId="0" xr:uid="{43FE5D98-3711-45D5-8022-6A39891E3F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Kun for 2020-2022
Reply:
    Deltatt i 2019 og 2020. Resultat derfor delt med 2.
 </t>
      </text>
    </comment>
    <comment ref="C30" authorId="7" shapeId="0" xr:uid="{C81B0283-BB5A-49A6-A696-DD7F86B1BDD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Skolens måler </t>
      </text>
    </comment>
    <comment ref="E30" authorId="8" shapeId="0" xr:uid="{23676F3B-7C65-49E1-959E-3233F4625A5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Skolens måler 
</t>
      </text>
    </comment>
    <comment ref="AD31" authorId="9" shapeId="0" xr:uid="{4EEB7DF9-8F4A-4AA1-826E-4C7033B9AF72}">
      <text>
        <t>[Threaded comment]
Your version of Excel allows you to read this threaded comment; however, any edits to it will get removed if the file is opened in a newer version of Excel. Learn more: https://go.microsoft.com/fwlink/?linkid=870924
Comment:
    Med barneboligene under?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tc={6F8E6FB7-9840-4EB1-8F9B-1DF1B4EC24AA}</author>
    <author>tc={79700A4C-EECB-41DB-843E-9051A9885305}</author>
    <author>tc={92844871-CA81-4F9A-958F-2E542220E95E}</author>
    <author>tc={E0401CAD-BAAC-458C-9D12-BDA9B3E90432}</author>
    <author>tc={E14B4725-4037-41FC-8231-CBD7428DDB71}</author>
    <author>tc={9E519E53-94A7-4381-A1FF-6D5501A63EE2}</author>
    <author>tc={94585A8E-5B80-43D4-8DD7-35865F8F5144}</author>
    <author>tc={5287D77E-50EE-44CC-B377-5F0D3464C279}</author>
    <author>tc={095837D9-87C2-41EF-BD3F-B3EFC6C86EFC}</author>
    <author>tc={AE1AEA39-FB66-4996-A4B6-9EE45249BB8D}</author>
    <author>tc={53E16DDF-3969-4801-B634-18B644A164D1}</author>
    <author>tc={E1559611-56ED-490E-AD34-7B8F4AA1425D}</author>
    <author>tc={0578D371-4492-497B-897F-7086C92B357D}</author>
    <author>tc={CCD6211A-B217-4823-BC71-68793DE55BB9}</author>
    <author>tc={DAFC4EAF-6610-4CF3-84F6-8D425E810EB4}</author>
    <author>tc={68A38B9F-9B03-4DA5-8A8A-442C0D38CD38}</author>
    <author>tc={6FADA50C-261E-4D7B-86F5-D33E59AF93BB}</author>
    <author>tc={CEC9F842-13F2-4B2B-A7AC-2AC5A20BBF63}</author>
    <author>tc={B58A8E30-9240-4D70-BB69-CA84A17E4249}</author>
    <author>tc={4D404D53-5365-4E00-9947-13150F924DF1}</author>
    <author>tc={40366A30-302D-4E59-A70D-F01A7761E089}</author>
    <author>tc={4A8331BC-4EB4-4155-A88D-E4FD222A647E}</author>
    <author>tc={F130D2C9-9C83-46E6-9498-860C9A11D617}</author>
  </authors>
  <commentList>
    <comment ref="AX2" authorId="0" shapeId="0" xr:uid="{6F8E6FB7-9840-4EB1-8F9B-1DF1B4EC24AA}">
      <text>
        <t>[Threaded comment]
Your version of Excel allows you to read this threaded comment; however, any edits to it will get removed if the file is opened in a newer version of Excel. Learn more: https://go.microsoft.com/fwlink/?linkid=870924
Comment:
    Vurdering uten samisk og Hagen</t>
      </text>
    </comment>
    <comment ref="L4" authorId="1" shapeId="0" xr:uid="{79700A4C-EECB-41DB-843E-9051A9885305}">
      <text>
        <t>[Threaded comment]
Your version of Excel allows you to read this threaded comment; however, any edits to it will get removed if the file is opened in a newer version of Excel. Learn more: https://go.microsoft.com/fwlink/?linkid=870924
Comment:
    Avtalt med rektor 15.01.25</t>
      </text>
    </comment>
    <comment ref="M4" authorId="2" shapeId="0" xr:uid="{92844871-CA81-4F9A-958F-2E542220E95E}">
      <text>
        <t>[Threaded comment]
Your version of Excel allows you to read this threaded comment; however, any edits to it will get removed if the file is opened in a newer version of Excel. Learn more: https://go.microsoft.com/fwlink/?linkid=870924
Comment:
    Anslag gjort av ACV og WHS</t>
      </text>
    </comment>
    <comment ref="Q4" authorId="3" shapeId="0" xr:uid="{E0401CAD-BAAC-458C-9D12-BDA9B3E90432}">
      <text>
        <t>[Threaded comment]
Your version of Excel allows you to read this threaded comment; however, any edits to it will get removed if the file is opened in a newer version of Excel. Learn more: https://go.microsoft.com/fwlink/?linkid=870924
Comment:
    Avtalt med WHS 15.01.25</t>
      </text>
    </comment>
    <comment ref="AG4" authorId="4" shapeId="0" xr:uid="{E14B4725-4037-41FC-8231-CBD7428DDB71}">
      <text>
        <t>[Threaded comment]
Your version of Excel allows you to read this threaded comment; however, any edits to it will get removed if the file is opened in a newer version of Excel. Learn more: https://go.microsoft.com/fwlink/?linkid=870924
Comment:
    Inklusive modul</t>
      </text>
    </comment>
    <comment ref="AT4" authorId="5" shapeId="0" xr:uid="{9E519E53-94A7-4381-A1FF-6D5501A63EE2}">
      <text>
        <t>[Threaded comment]
Your version of Excel allows you to read this threaded comment; however, any edits to it will get removed if the file is opened in a newer version of Excel. Learn more: https://go.microsoft.com/fwlink/?linkid=870924
Comment:
    Modul utgjør 70 plasser</t>
      </text>
    </comment>
    <comment ref="AW5" authorId="6" shapeId="0" xr:uid="{94585A8E-5B80-43D4-8DD7-35865F8F5144}">
      <text>
        <t>[Threaded comment]
Your version of Excel allows you to read this threaded comment; however, any edits to it will get removed if the file is opened in a newer version of Excel. Learn more: https://go.microsoft.com/fwlink/?linkid=870924
Comment:
    Tidligere oppgitt 378! 
340 er GSI tall fra oktober 24</t>
      </text>
    </comment>
    <comment ref="S7" authorId="7" shapeId="0" xr:uid="{5287D77E-50EE-44CC-B377-5F0D3464C27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29/30 tall
</t>
      </text>
    </comment>
    <comment ref="X7" authorId="8" shapeId="0" xr:uid="{095837D9-87C2-41EF-BD3F-B3EFC6C86EF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Tall for 29/30
</t>
      </text>
    </comment>
    <comment ref="A17" authorId="9" shapeId="0" xr:uid="{AE1AEA39-FB66-4996-A4B6-9EE45249BB8D}">
      <text>
        <t>[Threaded comment]
Your version of Excel allows you to read this threaded comment; however, any edits to it will get removed if the file is opened in a newer version of Excel. Learn more: https://go.microsoft.com/fwlink/?linkid=870924
Comment:
    Tall uten SFO fordi SFO registrerer antall og ikke årsverk</t>
      </text>
    </comment>
    <comment ref="B24" authorId="10" shapeId="0" xr:uid="{53E16DDF-3969-4801-B634-18B644A164D1}">
      <text>
        <t>[Threaded comment]
Your version of Excel allows you to read this threaded comment; however, any edits to it will get removed if the file is opened in a newer version of Excel. Learn more: https://go.microsoft.com/fwlink/?linkid=870924
Comment:
    Vi får ikker årsverk på Sfo. Vurdere om vi skal differensiere basert på kompetanse.</t>
      </text>
    </comment>
    <comment ref="B30" authorId="11" shapeId="0" xr:uid="{E1559611-56ED-490E-AD34-7B8F4AA1425D}">
      <text>
        <t>[Threaded comment]
Your version of Excel allows you to read this threaded comment; however, any edits to it will get removed if the file is opened in a newer version of Excel. Learn more: https://go.microsoft.com/fwlink/?linkid=870924
Comment:
    Se udir.no</t>
      </text>
    </comment>
    <comment ref="A32" authorId="12" shapeId="0" xr:uid="{0578D371-4492-497B-897F-7086C92B357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Tallene inkluderer investeringer </t>
      </text>
    </comment>
    <comment ref="B33" authorId="13" shapeId="0" xr:uid="{CCD6211A-B217-4823-BC71-68793DE55BB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Grunntildelingen består sådan av (enkelt forklart) en basistildeling (lik for skolene), en grunnressurs iht. lærernormen, en elevtildeling + eventuelt et småskoletillegg for de minste skolene.  
All øvrig tildeling betegnes som noe «ekstra»
</t>
      </text>
    </comment>
    <comment ref="M33" authorId="14" shapeId="0" xr:uid="{DAFC4EAF-6610-4CF3-84F6-8D425E810EB4}">
      <text>
        <t>[Threaded comment]
Your version of Excel allows you to read this threaded comment; however, any edits to it will get removed if the file is opened in a newer version of Excel. Learn more: https://go.microsoft.com/fwlink/?linkid=870924
Comment:
    Snitt per elev 234278</t>
      </text>
    </comment>
    <comment ref="O33" authorId="15" shapeId="0" xr:uid="{68A38B9F-9B03-4DA5-8A8A-442C0D38CD38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Kostnad per elev 110694</t>
      </text>
    </comment>
    <comment ref="Q33" authorId="16" shapeId="0" xr:uid="{6FADA50C-261E-4D7B-86F5-D33E59AF93BB}">
      <text>
        <t>[Threaded comment]
Your version of Excel allows you to read this threaded comment; however, any edits to it will get removed if the file is opened in a newer version of Excel. Learn more: https://go.microsoft.com/fwlink/?linkid=870924
Comment:
    Kostnad per elev 382545 er feil!!!</t>
      </text>
    </comment>
    <comment ref="S33" authorId="17" shapeId="0" xr:uid="{CEC9F842-13F2-4B2B-A7AC-2AC5A20BBF63}">
      <text>
        <t>[Threaded comment]
Your version of Excel allows you to read this threaded comment; however, any edits to it will get removed if the file is opened in a newer version of Excel. Learn more: https://go.microsoft.com/fwlink/?linkid=870924
Comment:
    Hillesøyskolen</t>
      </text>
    </comment>
    <comment ref="A36" authorId="18" shapeId="0" xr:uid="{B58A8E30-9240-4D70-BB69-CA84A17E4249}">
      <text>
        <t>[Threaded comment]
Your version of Excel allows you to read this threaded comment; however, any edits to it will get removed if the file is opened in a newer version of Excel. Learn more: https://go.microsoft.com/fwlink/?linkid=870924
Comment:
    Aktuelt for mottakende enheter
For aktuelle enheter må det gjøres en vurdering av antallet barn, elever og medarbeidere det kan være plass til. 
Reply:
    Arealet er hentet fra regnearket Tromsø kartleggingsbok og er bruttoareal som stemmer overens med tallene i FDV skole og barnehage</t>
      </text>
    </comment>
    <comment ref="E36" authorId="19" shapeId="0" xr:uid="{4D404D53-5365-4E00-9947-13150F924DF1}">
      <text>
        <t>[Threaded comment]
Your version of Excel allows you to read this threaded comment; however, any edits to it will get removed if the file is opened in a newer version of Excel. Learn more: https://go.microsoft.com/fwlink/?linkid=870924
Comment:
    Den gamle skolen</t>
      </text>
    </comment>
    <comment ref="P36" authorId="20" shapeId="0" xr:uid="{40366A30-302D-4E59-A70D-F01A7761E089}">
      <text>
        <t>[Threaded comment]
Your version of Excel allows you to read this threaded comment; however, any edits to it will get removed if the file is opened in a newer version of Excel. Learn more: https://go.microsoft.com/fwlink/?linkid=870924
Comment:
    Inkl barnehagen</t>
      </text>
    </comment>
    <comment ref="Q36" authorId="21" shapeId="0" xr:uid="{4A8331BC-4EB4-4155-A88D-E4FD222A647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Inkl barnehagen </t>
      </text>
    </comment>
    <comment ref="A37" authorId="22" shapeId="0" xr:uid="{F130D2C9-9C83-46E6-9498-860C9A11D61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Aktuelt for mottakende enheter
For aktuelle enheter må det gjøres en vurdering av antallet barn, elever og medarbeidere det kan være plass til. Tallene stemmer overens med tallene i FDV skole og barnehage. </t>
      </text>
    </comment>
  </commentList>
</comments>
</file>

<file path=xl/sharedStrings.xml><?xml version="1.0" encoding="utf-8"?>
<sst xmlns="http://schemas.openxmlformats.org/spreadsheetml/2006/main" count="295" uniqueCount="220">
  <si>
    <t>BARNEHAGER</t>
  </si>
  <si>
    <t>Distriktet øyene</t>
  </si>
  <si>
    <t>Distriktet fastlandet</t>
  </si>
  <si>
    <t>Kvaløya sentralt</t>
  </si>
  <si>
    <t>Tromsøya nordvest</t>
  </si>
  <si>
    <t>Tromsøya nordøst</t>
  </si>
  <si>
    <t xml:space="preserve">Tromsøya sør </t>
  </si>
  <si>
    <t>Fastlandet nord</t>
  </si>
  <si>
    <t>Fastlandet sør</t>
  </si>
  <si>
    <t>Kriterium</t>
  </si>
  <si>
    <t>Forklaring måleverdi (absolutt eller verdi i %)</t>
  </si>
  <si>
    <t>Kattfjord</t>
  </si>
  <si>
    <t>Straumsbukta</t>
  </si>
  <si>
    <t>Trondjord</t>
  </si>
  <si>
    <t>Vikran</t>
  </si>
  <si>
    <t>Sommarøy</t>
  </si>
  <si>
    <t>SUM</t>
  </si>
  <si>
    <t>SNITT DISTRIKTET øyene</t>
  </si>
  <si>
    <t>Lakselvbukt</t>
  </si>
  <si>
    <t>Skittenelv</t>
  </si>
  <si>
    <t>SNITT DISTRIKTET fastlandet</t>
  </si>
  <si>
    <t xml:space="preserve">Eidhaugen </t>
  </si>
  <si>
    <t xml:space="preserve">Storvollen </t>
  </si>
  <si>
    <t>Kvaløysletta</t>
  </si>
  <si>
    <t xml:space="preserve">Slettaelva </t>
  </si>
  <si>
    <t>Kjosen</t>
  </si>
  <si>
    <t>SNITT Kvaløya sentralt</t>
  </si>
  <si>
    <t>Solneset</t>
  </si>
  <si>
    <t>Olsgård</t>
  </si>
  <si>
    <t>Sjømannsbyen</t>
  </si>
  <si>
    <t>Workinnmarka</t>
  </si>
  <si>
    <t>SNITT Tromsøya nordvest</t>
  </si>
  <si>
    <t>Templarheimen</t>
  </si>
  <si>
    <t>Gyldenvang</t>
  </si>
  <si>
    <t>Stakkevollan</t>
  </si>
  <si>
    <t>Trudvang</t>
  </si>
  <si>
    <t>SNITT Tromsøya nordøst</t>
  </si>
  <si>
    <t xml:space="preserve">Trollbakken </t>
  </si>
  <si>
    <t>Sorgenfri</t>
  </si>
  <si>
    <t>Sommereng</t>
  </si>
  <si>
    <t>Kvamstykket</t>
  </si>
  <si>
    <t xml:space="preserve">Samisk </t>
  </si>
  <si>
    <t>Bymyra</t>
  </si>
  <si>
    <t xml:space="preserve">SNITT Tromsøya sør </t>
  </si>
  <si>
    <t>Kroken</t>
  </si>
  <si>
    <t>Lunheim</t>
  </si>
  <si>
    <t>Skjelnan</t>
  </si>
  <si>
    <t>Tomasjordneset</t>
  </si>
  <si>
    <t>SNITT Fastlandet nord</t>
  </si>
  <si>
    <t>Elevestrand</t>
  </si>
  <si>
    <t>Fjellvegen</t>
  </si>
  <si>
    <t>Reinen</t>
  </si>
  <si>
    <t>Tromsdalen</t>
  </si>
  <si>
    <t>SNITT Fastlandet sør</t>
  </si>
  <si>
    <t>Barnehagens godkjente leke- og oppholdsareal</t>
  </si>
  <si>
    <t>Små barn skal ha 5 kvm, store barn skal ha 4 kvm</t>
  </si>
  <si>
    <t>Barnehagens kapasitet</t>
  </si>
  <si>
    <t>Hvor mange barn enheten er dimensjonert for. Forutsett 40/60 fordeling små og store med utgangspunkt i barnehagens godkjente lekeareal. BASIL</t>
  </si>
  <si>
    <t>Antall barn som har barnehageplass,når små barn er omgjort til store barn</t>
  </si>
  <si>
    <t>Barn med plass i barnehagen(antall store + små omgjort til 2 store pr liten) BASIL</t>
  </si>
  <si>
    <t xml:space="preserve">Faktisk antall barn i kommunale barnehager </t>
  </si>
  <si>
    <t>Faktisk antall barn små og store ikke omregnet 15.12.23  BASIL</t>
  </si>
  <si>
    <t xml:space="preserve">Små barn under 2 år i kommunale barnehager </t>
  </si>
  <si>
    <t>Barnetall  små 15.12.23  BASIL</t>
  </si>
  <si>
    <t xml:space="preserve">Store barn over 2 år i kommunale barnehager </t>
  </si>
  <si>
    <t>Barnetall  store 15.12.23  BASIL</t>
  </si>
  <si>
    <t xml:space="preserve">Kapasitetsutnyttelse i kommunale barnehager </t>
  </si>
  <si>
    <t>Dagens utnyttelse av kapasiteten</t>
  </si>
  <si>
    <t xml:space="preserve">Måleverdi </t>
  </si>
  <si>
    <t>Forventet demografisk utvikling 2030</t>
  </si>
  <si>
    <t>Prosentvis endring i antall barn i barnehagealder (1- 5 år) per opptaksområde  basert på prognosen for 2030. Se prognosenotatet 2024</t>
  </si>
  <si>
    <t>Forventet demografisk utvikling 2040</t>
  </si>
  <si>
    <t>Prosentvis endring i antall barn i barnehagealder 1-5 år per opptaksområde  basert på prognosen for  2040 Se prognosenotatet 2024</t>
  </si>
  <si>
    <t>Forventet demografisk utvikling 2050</t>
  </si>
  <si>
    <t>Prosentvis endring i antall barn i barnehagealder 1-5 år per opptaksområde  basert på prognosen for 2050 Se prognosenotatet 2024</t>
  </si>
  <si>
    <t>ROBUSTHET</t>
  </si>
  <si>
    <t>Vurdering av barnehagens evne til å håndtere varierende barnetall og opprettholde kvalitet.</t>
  </si>
  <si>
    <t xml:space="preserve">Antall årsverk fagarbeidere </t>
  </si>
  <si>
    <t>Antall ansatte omregnet til fulle årsverk med formell utdanning som fagarbeidere. Kilde årsmelding i BASIL 2023</t>
  </si>
  <si>
    <t xml:space="preserve">Antall årsverk assistenter  </t>
  </si>
  <si>
    <t>Årsverk pedagogisk personale</t>
  </si>
  <si>
    <t>Totalt årsverk som jobber med barn</t>
  </si>
  <si>
    <t>Summen av ovenstående. BASIL</t>
  </si>
  <si>
    <t>Barn per årsverk som jobber med barn</t>
  </si>
  <si>
    <t>Antall barn per totalt antall ansatte ref. bemmaningsnorm</t>
  </si>
  <si>
    <t>Styrer</t>
  </si>
  <si>
    <t>Antall årsverk til styrer. Kilde årsmelding i BASIL 2023</t>
  </si>
  <si>
    <t xml:space="preserve">Antall dispensasjoner fra norm om pedagogisk bemanning </t>
  </si>
  <si>
    <t>Hvor mange dispensasjoner er gitt i snitt de tre siste år. BASIL</t>
  </si>
  <si>
    <t xml:space="preserve">Foreldreundersøkelsen, tilfredshet </t>
  </si>
  <si>
    <t>Resultater fra foreldreundersøkelser som viser hvor totalt sett tilfredse foreldre er med barnehagen. 2019 + 2020 + 2023. Laveste score er UDIR</t>
  </si>
  <si>
    <t>ikke deltatt</t>
  </si>
  <si>
    <t>ØKONOMI OG TEKNISK</t>
  </si>
  <si>
    <t xml:space="preserve">AOUK-kostnader </t>
  </si>
  <si>
    <t>Kostnader (utgifter brutto budsjett 2024)- beløp i AOUK. Tromsø kommune, økonomi AOUK</t>
  </si>
  <si>
    <t>FDV kostnader bygg</t>
  </si>
  <si>
    <t xml:space="preserve">Kostnader til forvaltning, drift og vedlikehold - beløp i NOK  2023 eks investeringer </t>
  </si>
  <si>
    <t>Driftskostnader per barn</t>
  </si>
  <si>
    <t>Driftskostnader AOUK pluss FDV per barn</t>
  </si>
  <si>
    <t xml:space="preserve">Uteareal </t>
  </si>
  <si>
    <t xml:space="preserve">Antall kvadratmeter uteareal, Tromsø kommune Byggforvaltningen </t>
  </si>
  <si>
    <t xml:space="preserve">SOSIALT </t>
  </si>
  <si>
    <t>Dette er vanskelig kvantifiserbart, men beskrevet i kunnskapsgrunnlaget</t>
  </si>
  <si>
    <t>KLIMA OG MILJØ</t>
  </si>
  <si>
    <t xml:space="preserve">Energiforbruk i barnehagen </t>
  </si>
  <si>
    <t>Barnehagens energiforbruk 2023</t>
  </si>
  <si>
    <t xml:space="preserve">Kvadratmeter </t>
  </si>
  <si>
    <t>Energiforbruk per barn</t>
  </si>
  <si>
    <t>Barnehagens energiforbruk, oppgitt som kilowattimer (kWh) per faktisk antall barn per 15.12.23.</t>
  </si>
  <si>
    <t>Energiforbruk per kvm</t>
  </si>
  <si>
    <t>Miljøfyrtårn</t>
  </si>
  <si>
    <t>Sertifisert, ja, i ferd med å bli eller nei?</t>
  </si>
  <si>
    <t>nei</t>
  </si>
  <si>
    <t>ja</t>
  </si>
  <si>
    <t>under sertifisering</t>
  </si>
  <si>
    <t xml:space="preserve">under sertifisering </t>
  </si>
  <si>
    <t xml:space="preserve">ja </t>
  </si>
  <si>
    <t>Uteareal per barn</t>
  </si>
  <si>
    <t xml:space="preserve">Areal i kvadratmeter per barn (1-5 år) for uteområder til lek. </t>
  </si>
  <si>
    <t xml:space="preserve">SKOLER </t>
  </si>
  <si>
    <t>KVALØYA</t>
  </si>
  <si>
    <t xml:space="preserve">Distriktet øyene </t>
  </si>
  <si>
    <t xml:space="preserve">Distriktet fastlandet </t>
  </si>
  <si>
    <t>FASTLANDET NORD</t>
  </si>
  <si>
    <t xml:space="preserve">FASTLANDET SØR </t>
  </si>
  <si>
    <t xml:space="preserve">TROMSØYA NORDVEST </t>
  </si>
  <si>
    <t>TROMSØYA SØR</t>
  </si>
  <si>
    <t>TROMSØYA NORDØST</t>
  </si>
  <si>
    <t>Storelva</t>
  </si>
  <si>
    <t>Selnes</t>
  </si>
  <si>
    <t>Kvaløysletta u-skole</t>
  </si>
  <si>
    <t>Nye Kvaløyslettaskole</t>
  </si>
  <si>
    <t>Sandnessund</t>
  </si>
  <si>
    <t>Kaldfjord</t>
  </si>
  <si>
    <t>Slettaelva</t>
  </si>
  <si>
    <t xml:space="preserve">SUM </t>
  </si>
  <si>
    <t xml:space="preserve">Snitt Kvaløya </t>
  </si>
  <si>
    <t>Ersfjordbotn</t>
  </si>
  <si>
    <t>VikranStraumsbukta</t>
  </si>
  <si>
    <t>Kattfjord/Brensholmen</t>
  </si>
  <si>
    <t xml:space="preserve">Brensholmen </t>
  </si>
  <si>
    <t>SNITT DISTRIKTET ØYENE</t>
  </si>
  <si>
    <t xml:space="preserve">Ramfjord </t>
  </si>
  <si>
    <t>SNITT DISTRIKTET FASTLANDET</t>
  </si>
  <si>
    <t>Krokelvdalen</t>
  </si>
  <si>
    <t>SNITT FASTLANDET NORD</t>
  </si>
  <si>
    <t>Nye Tromsdalen</t>
  </si>
  <si>
    <t>Tromstun</t>
  </si>
  <si>
    <t xml:space="preserve">SNITT FASTLANDET SØR </t>
  </si>
  <si>
    <t>Workinmarka</t>
  </si>
  <si>
    <t>Mortensnes</t>
  </si>
  <si>
    <t>Hamna</t>
  </si>
  <si>
    <t>Langnes</t>
  </si>
  <si>
    <t xml:space="preserve">snitt TROMSØYA NORDVEST  </t>
  </si>
  <si>
    <t xml:space="preserve">Bjerkaker </t>
  </si>
  <si>
    <t>Fagereng</t>
  </si>
  <si>
    <t>Gyllenborg</t>
  </si>
  <si>
    <t xml:space="preserve">Prestvannet </t>
  </si>
  <si>
    <t>Prestvannet nærskole</t>
  </si>
  <si>
    <t>Sommerlyst</t>
  </si>
  <si>
    <t xml:space="preserve">SNITT TROMSØYA SØR  </t>
  </si>
  <si>
    <t>Borgtun</t>
  </si>
  <si>
    <t>Grønnåsen</t>
  </si>
  <si>
    <t>SNITT TROMSØYA NORDØST</t>
  </si>
  <si>
    <t>BEHOV</t>
  </si>
  <si>
    <t>Skolens kapasitet</t>
  </si>
  <si>
    <t>Tallene kommer fra skolenes godkjenning og skolebehovsplan 2018-2030</t>
  </si>
  <si>
    <r>
      <rPr>
        <sz val="9.6"/>
        <color rgb="FF000000"/>
        <rFont val="Segoe UI"/>
        <family val="2"/>
      </rPr>
      <t xml:space="preserve">Nåværende antall barn i skolealder </t>
    </r>
    <r>
      <rPr>
        <sz val="9.6"/>
        <rFont val="Segoe UI"/>
        <family val="2"/>
      </rPr>
      <t>GSI-tall</t>
    </r>
    <r>
      <rPr>
        <sz val="9.6"/>
        <color theme="1"/>
        <rFont val="Segoe UI"/>
        <family val="2"/>
      </rPr>
      <t xml:space="preserve"> pr okt 24</t>
    </r>
  </si>
  <si>
    <t>Antall barn 24/25 ref GSI per okt 24</t>
  </si>
  <si>
    <t xml:space="preserve">Kapasitetsutnyttelse </t>
  </si>
  <si>
    <t>Dagens reelle kapasitet</t>
  </si>
  <si>
    <t>%</t>
  </si>
  <si>
    <t>Prosentvis endring i antall barn i skolealder per opptaksområde  basert på prognoser for 2030, 2040 og 2048</t>
  </si>
  <si>
    <t>Prosentuell nedgang 2030-2024</t>
  </si>
  <si>
    <t>Kapasitetsutnyttelse 2030</t>
  </si>
  <si>
    <t>Prosentvis endring i antall barn i skolealder per opptaksområde  basert på prognoser for 2030, 2040 og 2049</t>
  </si>
  <si>
    <t xml:space="preserve">Prosentuell endring </t>
  </si>
  <si>
    <t>Kapasitetsutnyttelse 2040</t>
  </si>
  <si>
    <t xml:space="preserve">Prosentvis endring i antall barn i skolealder per opptaksområde  basert på prognoser for 2030, 2040 og 2050 </t>
  </si>
  <si>
    <t xml:space="preserve">Prosentuell endring  </t>
  </si>
  <si>
    <t>Kapasitetsutnyttelse 2050</t>
  </si>
  <si>
    <t>Vurdering av skolens evne til å håndtere varierende elevtall og opprettholde kvalitet.</t>
  </si>
  <si>
    <t>Antall årsverk</t>
  </si>
  <si>
    <t>Antall medarbeidere omregnet til fulle stillinger, ett årsverk er 100% stilling</t>
  </si>
  <si>
    <t>Antall elever per årsverk</t>
  </si>
  <si>
    <t>Antall medarbeidere omregnet til fulle stillinger, ett årsverk er 100% stilling per elev</t>
  </si>
  <si>
    <t>Antall administrativt årsverk</t>
  </si>
  <si>
    <t>Antall adminstrative medarbeidere omregnet til fulle stillinger, ett årsverk er 100% stilling</t>
  </si>
  <si>
    <t>Antall pedagogisk årsverk</t>
  </si>
  <si>
    <t>Antall pedagogisk utdannede medarbeidere omregnet til fulle stillinger, ett årsverk er 100% stilling</t>
  </si>
  <si>
    <t xml:space="preserve">Antall årsverk fagarbeidere og assistenter </t>
  </si>
  <si>
    <t>Antall årsverk ufaglærte</t>
  </si>
  <si>
    <t>Antall ufaglærte lærere omregnet til fulle stillinger, ett årsverk er 100% stilling</t>
  </si>
  <si>
    <t>Måleverdi</t>
  </si>
  <si>
    <t>Antall medarbeidere SFO</t>
  </si>
  <si>
    <t>Nasjonale prøveresultater 5te trinn</t>
  </si>
  <si>
    <t>Gjennomsnittlige resultater fra nasjonale prøver, uttrykt i prosent eller poeng. Snitt tre siste år</t>
  </si>
  <si>
    <t>Nasjonale prøveresultater 8de trinn</t>
  </si>
  <si>
    <t>Elevundersøkelsen</t>
  </si>
  <si>
    <t>Vurdering fra elevundersøkelser. Snitt tre siste år, 2022-2024. Tallene er levert av Helle Jørgensen AOUK</t>
  </si>
  <si>
    <t>FDV-kostnader</t>
  </si>
  <si>
    <t>Budsjett 2024 inkl SFO. Morsmålsopplæring, IFK, særskit elevtildeling og ressurskoler uten SFO og annet er ikke inkludert</t>
  </si>
  <si>
    <t>Totale kostnader FDV og AOUK</t>
  </si>
  <si>
    <t xml:space="preserve">Summen av ovenstående </t>
  </si>
  <si>
    <t>Driftskostnader per elev</t>
  </si>
  <si>
    <t xml:space="preserve">Driftskostnader (AOUK + Bygg) per elev. Se endelig budsjett 2024 </t>
  </si>
  <si>
    <t>Inneareal</t>
  </si>
  <si>
    <t xml:space="preserve">Antall kvadratmeter inneareal </t>
  </si>
  <si>
    <t xml:space="preserve">Inneareal per elevplass/kapasitet </t>
  </si>
  <si>
    <t xml:space="preserve">Antall kvadratmeter inneareal per kapasitet elevplasser </t>
  </si>
  <si>
    <t xml:space="preserve">Inneareal per elev nå </t>
  </si>
  <si>
    <t>Antall kvadratmeter inneareal per elev</t>
  </si>
  <si>
    <t>SOSIALT</t>
  </si>
  <si>
    <t>Klima- og miljøpåvirkning</t>
  </si>
  <si>
    <t>Energiforbruk</t>
  </si>
  <si>
    <t>Skolens energiforbruk totalt i 2024</t>
  </si>
  <si>
    <t xml:space="preserve">Energiforbruk per kvm </t>
  </si>
  <si>
    <t xml:space="preserve">Skolens energiforbruk (i kWh per m² bruttoareal) </t>
  </si>
  <si>
    <t>Energiforbruk per elev</t>
  </si>
  <si>
    <t xml:space="preserve">Skolens energiforbruk i kWh per elev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</si>
</sst>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15">
    <font>
      <sz val="11"/>
      <color theme="1"/>
      <name val="Aptos Narrow"/>
      <family val="2"/>
      <scheme val="minor"/>
    </font>
    <font>
      <sz val="9.6"/>
      <color theme="1"/>
      <name val="Segoe UI"/>
      <family val="2"/>
    </font>
    <font>
      <b/>
      <sz val="9.6"/>
      <color theme="1"/>
      <name val="Segoe UI"/>
      <family val="2"/>
    </font>
    <font>
      <b/>
      <sz val="26"/>
      <color theme="1"/>
      <name val="Aptos Narrow"/>
      <family val="2"/>
      <scheme val="minor"/>
    </font>
    <font>
      <b/>
      <sz val="18"/>
      <color rgb="FF000000"/>
      <name val="Segoe UI"/>
      <family val="2"/>
    </font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.6"/>
      <color rgb="FF000000"/>
      <name val="Segoe UI"/>
      <family val="2"/>
    </font>
    <font>
      <sz val="9.6"/>
      <name val="Segoe UI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.6"/>
      <color theme="1"/>
      <name val="Segoe UI"/>
    </font>
    <font>
      <b/>
      <sz val="9.6"/>
      <color theme="1"/>
      <name val="Segoe UI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wrapText="1"/>
    </xf>
    <xf numFmtId="0" fontId="0" fillId="0" borderId="5" xfId="0" applyBorder="1"/>
    <xf numFmtId="164" fontId="0" fillId="0" borderId="1" xfId="0" applyNumberFormat="1" applyBorder="1"/>
    <xf numFmtId="165" fontId="0" fillId="0" borderId="1" xfId="2" applyNumberFormat="1" applyFont="1" applyFill="1" applyBorder="1"/>
    <xf numFmtId="165" fontId="0" fillId="0" borderId="1" xfId="0" applyNumberFormat="1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0" fillId="0" borderId="7" xfId="0" applyBorder="1"/>
    <xf numFmtId="0" fontId="13" fillId="0" borderId="2" xfId="0" applyFont="1" applyBorder="1" applyAlignment="1">
      <alignment vertical="center" wrapText="1"/>
    </xf>
    <xf numFmtId="9" fontId="0" fillId="0" borderId="1" xfId="0" applyNumberFormat="1" applyBorder="1"/>
    <xf numFmtId="9" fontId="0" fillId="0" borderId="7" xfId="0" applyNumberFormat="1" applyBorder="1"/>
    <xf numFmtId="0" fontId="5" fillId="0" borderId="1" xfId="0" applyFont="1" applyBorder="1" applyAlignment="1">
      <alignment vertical="center" wrapText="1"/>
    </xf>
    <xf numFmtId="164" fontId="0" fillId="0" borderId="7" xfId="0" applyNumberFormat="1" applyBorder="1"/>
    <xf numFmtId="165" fontId="0" fillId="0" borderId="7" xfId="2" applyNumberFormat="1" applyFont="1" applyFill="1" applyBorder="1"/>
    <xf numFmtId="43" fontId="2" fillId="0" borderId="10" xfId="2" applyFont="1" applyFill="1" applyBorder="1" applyAlignment="1">
      <alignment horizontal="center" wrapText="1"/>
    </xf>
    <xf numFmtId="43" fontId="0" fillId="0" borderId="0" xfId="2" applyFont="1" applyFill="1"/>
    <xf numFmtId="166" fontId="1" fillId="0" borderId="1" xfId="2" applyNumberFormat="1" applyFont="1" applyFill="1" applyBorder="1" applyAlignment="1">
      <alignment horizontal="right" wrapText="1"/>
    </xf>
    <xf numFmtId="165" fontId="1" fillId="0" borderId="1" xfId="2" applyNumberFormat="1" applyFont="1" applyFill="1" applyBorder="1" applyAlignment="1">
      <alignment horizontal="right" wrapText="1"/>
    </xf>
    <xf numFmtId="164" fontId="1" fillId="0" borderId="1" xfId="2" applyNumberFormat="1" applyFont="1" applyFill="1" applyBorder="1" applyAlignment="1">
      <alignment horizontal="right" wrapText="1"/>
    </xf>
    <xf numFmtId="164" fontId="0" fillId="0" borderId="0" xfId="0" applyNumberFormat="1"/>
    <xf numFmtId="165" fontId="13" fillId="0" borderId="1" xfId="2" applyNumberFormat="1" applyFont="1" applyBorder="1" applyAlignment="1">
      <alignment horizontal="right" wrapText="1"/>
    </xf>
    <xf numFmtId="0" fontId="13" fillId="0" borderId="1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wrapText="1"/>
    </xf>
    <xf numFmtId="43" fontId="2" fillId="2" borderId="10" xfId="2" applyFont="1" applyFill="1" applyBorder="1" applyAlignment="1">
      <alignment horizontal="center" wrapText="1"/>
    </xf>
    <xf numFmtId="165" fontId="1" fillId="2" borderId="1" xfId="2" applyNumberFormat="1" applyFont="1" applyFill="1" applyBorder="1" applyAlignment="1">
      <alignment horizontal="right" wrapText="1"/>
    </xf>
    <xf numFmtId="0" fontId="0" fillId="2" borderId="1" xfId="0" applyFill="1" applyBorder="1"/>
    <xf numFmtId="9" fontId="0" fillId="2" borderId="1" xfId="0" applyNumberFormat="1" applyFill="1" applyBorder="1"/>
    <xf numFmtId="165" fontId="0" fillId="2" borderId="1" xfId="2" applyNumberFormat="1" applyFont="1" applyFill="1" applyBorder="1"/>
    <xf numFmtId="43" fontId="1" fillId="2" borderId="1" xfId="2" applyFont="1" applyFill="1" applyBorder="1" applyAlignment="1">
      <alignment horizontal="right" wrapText="1"/>
    </xf>
    <xf numFmtId="164" fontId="0" fillId="2" borderId="1" xfId="0" applyNumberFormat="1" applyFill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0" fontId="0" fillId="2" borderId="0" xfId="0" applyFill="1"/>
    <xf numFmtId="43" fontId="0" fillId="2" borderId="0" xfId="2" applyFont="1" applyFill="1"/>
    <xf numFmtId="0" fontId="2" fillId="2" borderId="11" xfId="0" applyFont="1" applyFill="1" applyBorder="1" applyAlignment="1">
      <alignment horizontal="center" wrapText="1"/>
    </xf>
    <xf numFmtId="165" fontId="13" fillId="2" borderId="1" xfId="2" applyNumberFormat="1" applyFont="1" applyFill="1" applyBorder="1" applyAlignment="1">
      <alignment horizontal="right" wrapText="1"/>
    </xf>
    <xf numFmtId="166" fontId="1" fillId="2" borderId="1" xfId="2" applyNumberFormat="1" applyFont="1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164" fontId="1" fillId="2" borderId="1" xfId="2" applyNumberFormat="1" applyFont="1" applyFill="1" applyBorder="1" applyAlignment="1">
      <alignment horizontal="right" wrapText="1"/>
    </xf>
    <xf numFmtId="0" fontId="0" fillId="2" borderId="7" xfId="0" applyFill="1" applyBorder="1"/>
    <xf numFmtId="164" fontId="0" fillId="2" borderId="7" xfId="0" applyNumberFormat="1" applyFill="1" applyBorder="1"/>
    <xf numFmtId="165" fontId="0" fillId="2" borderId="0" xfId="2" applyNumberFormat="1" applyFont="1" applyFill="1"/>
    <xf numFmtId="0" fontId="0" fillId="3" borderId="0" xfId="0" applyFill="1"/>
    <xf numFmtId="0" fontId="0" fillId="2" borderId="1" xfId="0" applyFill="1" applyBorder="1" applyAlignment="1">
      <alignment vertical="center"/>
    </xf>
    <xf numFmtId="43" fontId="0" fillId="2" borderId="1" xfId="2" applyFont="1" applyFill="1" applyBorder="1" applyAlignment="1">
      <alignment vertical="center"/>
    </xf>
    <xf numFmtId="165" fontId="0" fillId="2" borderId="1" xfId="2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2" applyNumberFormat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165" fontId="0" fillId="0" borderId="1" xfId="2" applyNumberFormat="1" applyFont="1" applyFill="1" applyBorder="1" applyAlignment="1">
      <alignment vertical="center"/>
    </xf>
    <xf numFmtId="43" fontId="0" fillId="3" borderId="1" xfId="2" applyFont="1" applyFill="1" applyBorder="1" applyAlignment="1">
      <alignment vertical="center"/>
    </xf>
    <xf numFmtId="9" fontId="6" fillId="2" borderId="1" xfId="1" applyFont="1" applyFill="1" applyBorder="1" applyAlignment="1">
      <alignment vertical="center"/>
    </xf>
    <xf numFmtId="43" fontId="6" fillId="2" borderId="1" xfId="2" applyFont="1" applyFill="1" applyBorder="1" applyAlignment="1">
      <alignment vertical="center"/>
    </xf>
    <xf numFmtId="165" fontId="6" fillId="2" borderId="1" xfId="2" applyNumberFormat="1" applyFont="1" applyFill="1" applyBorder="1" applyAlignment="1">
      <alignment vertical="center"/>
    </xf>
    <xf numFmtId="9" fontId="6" fillId="0" borderId="1" xfId="1" applyFont="1" applyFill="1" applyBorder="1" applyAlignment="1">
      <alignment vertical="center"/>
    </xf>
    <xf numFmtId="9" fontId="6" fillId="3" borderId="1" xfId="1" applyFont="1" applyFill="1" applyBorder="1" applyAlignment="1">
      <alignment vertical="center"/>
    </xf>
    <xf numFmtId="9" fontId="0" fillId="2" borderId="1" xfId="1" applyFont="1" applyFill="1" applyBorder="1" applyAlignment="1">
      <alignment vertical="center"/>
    </xf>
    <xf numFmtId="9" fontId="0" fillId="0" borderId="1" xfId="1" applyFont="1" applyFill="1" applyBorder="1" applyAlignment="1">
      <alignment vertical="center"/>
    </xf>
    <xf numFmtId="9" fontId="0" fillId="3" borderId="1" xfId="1" applyFont="1" applyFill="1" applyBorder="1" applyAlignment="1">
      <alignment vertical="center"/>
    </xf>
    <xf numFmtId="43" fontId="0" fillId="0" borderId="1" xfId="2" applyFont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6" fontId="0" fillId="2" borderId="1" xfId="2" applyNumberFormat="1" applyFont="1" applyFill="1" applyBorder="1" applyAlignment="1">
      <alignment vertical="center"/>
    </xf>
    <xf numFmtId="166" fontId="0" fillId="0" borderId="1" xfId="2" applyNumberFormat="1" applyFon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65" fontId="11" fillId="2" borderId="1" xfId="2" applyNumberFormat="1" applyFont="1" applyFill="1" applyBorder="1" applyAlignment="1">
      <alignment vertical="center"/>
    </xf>
    <xf numFmtId="165" fontId="0" fillId="3" borderId="1" xfId="2" applyNumberFormat="1" applyFont="1" applyFill="1" applyBorder="1" applyAlignment="1">
      <alignment vertical="center"/>
    </xf>
    <xf numFmtId="165" fontId="0" fillId="0" borderId="3" xfId="2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165" fontId="0" fillId="0" borderId="3" xfId="2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3" fontId="2" fillId="2" borderId="1" xfId="2" applyFont="1" applyFill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14" fillId="2" borderId="1" xfId="2" applyFont="1" applyFill="1" applyBorder="1" applyAlignment="1">
      <alignment vertical="center" wrapText="1"/>
    </xf>
    <xf numFmtId="165" fontId="14" fillId="2" borderId="1" xfId="2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166" fontId="0" fillId="0" borderId="3" xfId="2" applyNumberFormat="1" applyFont="1" applyFill="1" applyBorder="1" applyAlignment="1">
      <alignment vertical="center"/>
    </xf>
    <xf numFmtId="165" fontId="0" fillId="2" borderId="3" xfId="0" applyNumberFormat="1" applyFill="1" applyBorder="1" applyAlignment="1">
      <alignment vertical="center"/>
    </xf>
    <xf numFmtId="164" fontId="0" fillId="2" borderId="3" xfId="0" applyNumberFormat="1" applyFill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165" fontId="0" fillId="2" borderId="17" xfId="0" applyNumberFormat="1" applyFill="1" applyBorder="1" applyAlignment="1">
      <alignment vertical="center"/>
    </xf>
    <xf numFmtId="43" fontId="0" fillId="2" borderId="17" xfId="2" applyFont="1" applyFill="1" applyBorder="1" applyAlignment="1">
      <alignment vertical="center"/>
    </xf>
    <xf numFmtId="165" fontId="0" fillId="2" borderId="17" xfId="2" applyNumberFormat="1" applyFont="1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165" fontId="0" fillId="0" borderId="17" xfId="2" applyNumberFormat="1" applyFont="1" applyBorder="1" applyAlignment="1">
      <alignment vertical="center"/>
    </xf>
    <xf numFmtId="165" fontId="0" fillId="3" borderId="17" xfId="0" applyNumberFormat="1" applyFill="1" applyBorder="1" applyAlignment="1">
      <alignment vertical="center"/>
    </xf>
    <xf numFmtId="43" fontId="0" fillId="3" borderId="17" xfId="2" applyFont="1" applyFill="1" applyBorder="1" applyAlignment="1">
      <alignment vertical="center"/>
    </xf>
    <xf numFmtId="165" fontId="0" fillId="3" borderId="17" xfId="2" applyNumberFormat="1" applyFont="1" applyFill="1" applyBorder="1" applyAlignment="1">
      <alignment vertical="center"/>
    </xf>
    <xf numFmtId="1" fontId="0" fillId="2" borderId="17" xfId="0" applyNumberFormat="1" applyFill="1" applyBorder="1" applyAlignment="1">
      <alignment vertical="center"/>
    </xf>
    <xf numFmtId="165" fontId="0" fillId="0" borderId="18" xfId="2" applyNumberFormat="1" applyFont="1" applyBorder="1" applyAlignment="1">
      <alignment vertical="center"/>
    </xf>
    <xf numFmtId="0" fontId="2" fillId="2" borderId="5" xfId="0" applyFont="1" applyFill="1" applyBorder="1" applyAlignment="1">
      <alignment horizontal="center" wrapText="1"/>
    </xf>
    <xf numFmtId="0" fontId="0" fillId="2" borderId="5" xfId="0" applyFill="1" applyBorder="1"/>
    <xf numFmtId="43" fontId="0" fillId="2" borderId="5" xfId="2" applyFont="1" applyFill="1" applyBorder="1"/>
    <xf numFmtId="165" fontId="0" fillId="2" borderId="5" xfId="2" applyNumberFormat="1" applyFont="1" applyFill="1" applyBorder="1"/>
    <xf numFmtId="43" fontId="0" fillId="0" borderId="5" xfId="2" applyFont="1" applyBorder="1"/>
    <xf numFmtId="0" fontId="0" fillId="3" borderId="5" xfId="0" applyFill="1" applyBorder="1"/>
    <xf numFmtId="0" fontId="0" fillId="0" borderId="6" xfId="0" applyBorder="1"/>
    <xf numFmtId="0" fontId="2" fillId="0" borderId="16" xfId="0" applyFont="1" applyBorder="1" applyAlignment="1">
      <alignment horizontal="center" wrapText="1"/>
    </xf>
    <xf numFmtId="0" fontId="6" fillId="2" borderId="17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 wrapText="1"/>
    </xf>
    <xf numFmtId="43" fontId="6" fillId="2" borderId="17" xfId="2" applyFont="1" applyFill="1" applyBorder="1" applyAlignment="1">
      <alignment vertical="top"/>
    </xf>
    <xf numFmtId="165" fontId="6" fillId="2" borderId="17" xfId="2" applyNumberFormat="1" applyFont="1" applyFill="1" applyBorder="1"/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 wrapText="1"/>
    </xf>
    <xf numFmtId="43" fontId="6" fillId="0" borderId="17" xfId="2" applyFont="1" applyBorder="1" applyAlignment="1">
      <alignment vertical="top"/>
    </xf>
    <xf numFmtId="43" fontId="6" fillId="0" borderId="17" xfId="2" applyFont="1" applyBorder="1" applyAlignment="1">
      <alignment vertical="top" wrapText="1"/>
    </xf>
    <xf numFmtId="43" fontId="6" fillId="2" borderId="17" xfId="2" applyFont="1" applyFill="1" applyBorder="1" applyAlignment="1">
      <alignment vertical="top" wrapText="1"/>
    </xf>
    <xf numFmtId="0" fontId="6" fillId="3" borderId="17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vertical="top"/>
    </xf>
    <xf numFmtId="0" fontId="6" fillId="3" borderId="17" xfId="0" applyFont="1" applyFill="1" applyBorder="1" applyAlignment="1">
      <alignment wrapText="1"/>
    </xf>
    <xf numFmtId="0" fontId="6" fillId="2" borderId="17" xfId="0" applyFont="1" applyFill="1" applyBorder="1" applyAlignment="1">
      <alignment wrapText="1"/>
    </xf>
    <xf numFmtId="0" fontId="6" fillId="0" borderId="17" xfId="0" applyFont="1" applyBorder="1" applyAlignment="1">
      <alignment vertical="top"/>
    </xf>
    <xf numFmtId="0" fontId="6" fillId="0" borderId="17" xfId="0" applyFont="1" applyBorder="1" applyAlignment="1">
      <alignment vertical="top" wrapText="1"/>
    </xf>
    <xf numFmtId="0" fontId="6" fillId="2" borderId="17" xfId="0" applyFont="1" applyFill="1" applyBorder="1" applyAlignment="1">
      <alignment vertical="top"/>
    </xf>
    <xf numFmtId="0" fontId="6" fillId="2" borderId="17" xfId="0" applyFont="1" applyFill="1" applyBorder="1" applyAlignment="1">
      <alignment vertical="top" wrapText="1"/>
    </xf>
    <xf numFmtId="0" fontId="6" fillId="0" borderId="17" xfId="0" applyFont="1" applyBorder="1"/>
    <xf numFmtId="0" fontId="6" fillId="0" borderId="18" xfId="0" applyFont="1" applyBorder="1" applyAlignment="1">
      <alignment wrapText="1"/>
    </xf>
    <xf numFmtId="0" fontId="6" fillId="2" borderId="2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9" fontId="6" fillId="2" borderId="13" xfId="1" applyFont="1" applyFill="1" applyBorder="1" applyAlignment="1">
      <alignment vertical="center"/>
    </xf>
    <xf numFmtId="9" fontId="0" fillId="2" borderId="13" xfId="1" applyFont="1" applyFill="1" applyBorder="1" applyAlignment="1">
      <alignment vertical="center"/>
    </xf>
    <xf numFmtId="164" fontId="0" fillId="2" borderId="13" xfId="0" applyNumberForma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165" fontId="11" fillId="2" borderId="13" xfId="2" applyNumberFormat="1" applyFont="1" applyFill="1" applyBorder="1" applyAlignment="1">
      <alignment vertical="center"/>
    </xf>
    <xf numFmtId="165" fontId="0" fillId="2" borderId="13" xfId="2" applyNumberFormat="1" applyFont="1" applyFill="1" applyBorder="1" applyAlignment="1">
      <alignment vertical="center"/>
    </xf>
    <xf numFmtId="165" fontId="0" fillId="2" borderId="13" xfId="0" applyNumberFormat="1" applyFill="1" applyBorder="1" applyAlignment="1">
      <alignment vertical="center"/>
    </xf>
    <xf numFmtId="0" fontId="14" fillId="2" borderId="13" xfId="0" applyFont="1" applyFill="1" applyBorder="1" applyAlignment="1">
      <alignment vertical="center" wrapText="1"/>
    </xf>
    <xf numFmtId="1" fontId="0" fillId="2" borderId="13" xfId="0" applyNumberFormat="1" applyFill="1" applyBorder="1" applyAlignment="1">
      <alignment vertical="center"/>
    </xf>
    <xf numFmtId="165" fontId="0" fillId="2" borderId="21" xfId="0" applyNumberFormat="1" applyFill="1" applyBorder="1" applyAlignment="1">
      <alignment vertical="center"/>
    </xf>
    <xf numFmtId="0" fontId="2" fillId="0" borderId="1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" fillId="0" borderId="2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165" fontId="0" fillId="3" borderId="1" xfId="2" applyNumberFormat="1" applyFont="1" applyFill="1" applyBorder="1"/>
    <xf numFmtId="165" fontId="13" fillId="3" borderId="1" xfId="2" applyNumberFormat="1" applyFont="1" applyFill="1" applyBorder="1" applyAlignment="1">
      <alignment horizontal="right" wrapText="1"/>
    </xf>
    <xf numFmtId="43" fontId="1" fillId="2" borderId="10" xfId="2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center" wrapText="1"/>
    </xf>
    <xf numFmtId="43" fontId="1" fillId="0" borderId="10" xfId="2" applyFont="1" applyFill="1" applyBorder="1" applyAlignment="1">
      <alignment horizontal="center" wrapText="1"/>
    </xf>
    <xf numFmtId="0" fontId="0" fillId="4" borderId="24" xfId="0" applyFill="1" applyBorder="1"/>
    <xf numFmtId="0" fontId="0" fillId="2" borderId="24" xfId="0" applyFill="1" applyBorder="1"/>
    <xf numFmtId="0" fontId="0" fillId="5" borderId="24" xfId="0" applyFill="1" applyBorder="1" applyAlignment="1">
      <alignment horizontal="right"/>
    </xf>
    <xf numFmtId="0" fontId="0" fillId="0" borderId="24" xfId="0" applyBorder="1" applyAlignment="1">
      <alignment horizontal="right"/>
    </xf>
    <xf numFmtId="43" fontId="1" fillId="0" borderId="10" xfId="2" applyFont="1" applyFill="1" applyBorder="1" applyAlignment="1">
      <alignment horizontal="right" wrapText="1"/>
    </xf>
    <xf numFmtId="43" fontId="0" fillId="5" borderId="24" xfId="0" applyNumberFormat="1" applyFill="1" applyBorder="1"/>
    <xf numFmtId="0" fontId="0" fillId="4" borderId="24" xfId="0" applyFill="1" applyBorder="1" applyAlignment="1">
      <alignment horizontal="right"/>
    </xf>
    <xf numFmtId="0" fontId="0" fillId="2" borderId="24" xfId="0" applyFill="1" applyBorder="1" applyAlignment="1">
      <alignment horizontal="right"/>
    </xf>
    <xf numFmtId="0" fontId="0" fillId="0" borderId="24" xfId="0" applyBorder="1"/>
    <xf numFmtId="0" fontId="1" fillId="2" borderId="11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0" fillId="2" borderId="1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12" fillId="0" borderId="7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</cellXfs>
  <cellStyles count="3">
    <cellStyle name="Komma" xfId="2" builtinId="3"/>
    <cellStyle name="Normal" xfId="0" builtinId="0"/>
    <cellStyle name="Prosent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y-Wenche Jensen" id="{8D0AF200-620E-4616-AC25-C4772CAADE06}" userId="S::may.wenche.jensen@tromso.kommune.no::940d06d5-7323-476b-b959-b7b5a2929d0b" providerId="AD"/>
  <person displayName="Arne Christian Vangdal" id="{C105D089-8C4E-46F2-975C-6B94B71F2B57}" userId="S::arne.christian.vangdal@tromso.kommune.no::fea93b1b-3401-4b73-b799-b674a30198f9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4-11-20T12:26:13.45" personId="{C105D089-8C4E-46F2-975C-6B94B71F2B57}" id="{39B1F29D-3108-4DDD-B577-7F5FF88032BE}">
    <text>Distriktet omfatter kommunale enheter på øyene</text>
  </threadedComment>
  <threadedComment ref="J1" dT="2024-11-20T12:26:13.45" personId="{C105D089-8C4E-46F2-975C-6B94B71F2B57}" id="{8B52C4E2-BE65-4F1F-8D85-52E83B9060F1}">
    <text>Distriktet omfatter kommunale enheter på øyene</text>
  </threadedComment>
  <threadedComment ref="AD2" dT="2025-01-07T11:07:48.38" personId="{C105D089-8C4E-46F2-975C-6B94B71F2B57}" id="{6F4B0AFB-70C9-48DB-BEC6-97C653A12DA3}">
    <text>Forsterket bhb- kapasitet uit fra godkjenning  og ikke areal ihht. vedtekter</text>
  </threadedComment>
  <threadedComment ref="B11" dT="2024-11-20T12:30:52.65" personId="{C105D089-8C4E-46F2-975C-6B94B71F2B57}" id="{60B4D2AD-BA10-44D1-89F9-4EA12AEFD59F}">
    <text>Gjelder barn 1-5 år ved middels befolkningsvekstprognose</text>
  </threadedComment>
  <threadedComment ref="C22" dT="2024-11-28T14:15:59.75" personId="{C105D089-8C4E-46F2-975C-6B94B71F2B57}" id="{F4E9D004-7098-468A-A331-B965AC3CCC93}">
    <text>Kun resultat for 2023</text>
  </threadedComment>
  <threadedComment ref="J22" dT="2025-01-07T14:36:56.15" personId="{C105D089-8C4E-46F2-975C-6B94B71F2B57}" id="{053C0388-321E-4DA8-A0EA-EAC9F79C0646}">
    <text>Kun for 2020-2022</text>
  </threadedComment>
  <threadedComment ref="J22" dT="2025-01-19T11:51:50.22" personId="{8D0AF200-620E-4616-AC25-C4772CAADE06}" id="{4ABD548B-1ACC-4730-ACEB-6E690A38BCB7}" parentId="{053C0388-321E-4DA8-A0EA-EAC9F79C0646}">
    <text>deltatt i 2019 og 2020. resultater derfor delt med 2 og ikke 3.</text>
  </threadedComment>
  <threadedComment ref="K22" dT="2025-01-07T14:37:54.44" personId="{C105D089-8C4E-46F2-975C-6B94B71F2B57}" id="{43FE5D98-3711-45D5-8022-6A39891E3F1F}">
    <text>Kun for 2020-2022</text>
  </threadedComment>
  <threadedComment ref="K22" dT="2025-01-19T11:53:31.24" personId="{8D0AF200-620E-4616-AC25-C4772CAADE06}" id="{0A41294B-F04D-4A4D-9536-4BE972136465}" parentId="{43FE5D98-3711-45D5-8022-6A39891E3F1F}">
    <text xml:space="preserve">Deltatt i 2019 og 2020. Resultat derfor delt med 2.
 </text>
  </threadedComment>
  <threadedComment ref="C30" dT="2024-11-28T08:04:43.25" personId="{C105D089-8C4E-46F2-975C-6B94B71F2B57}" id="{C81B0283-BB5A-49A6-A696-DD7F86B1BDD5}">
    <text xml:space="preserve">Skolens måler </text>
  </threadedComment>
  <threadedComment ref="E30" dT="2024-11-28T08:05:09.29" personId="{C105D089-8C4E-46F2-975C-6B94B71F2B57}" id="{23676F3B-7C65-49E1-959E-3233F4625A5F}">
    <text xml:space="preserve">Skolens måler 
</text>
  </threadedComment>
  <threadedComment ref="AD31" dT="2025-01-07T11:38:27.53" personId="{C105D089-8C4E-46F2-975C-6B94B71F2B57}" id="{4EEB7DF9-8F4A-4AA1-826E-4C7033B9AF72}">
    <text>Med barneboligene under?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2" dT="2024-11-20T13:38:19.54" personId="{C105D089-8C4E-46F2-975C-6B94B71F2B57}" id="{6F8E6FB7-9840-4EB1-8F9B-1DF1B4EC24AA}">
    <text>Vurdering uten samisk og Hagen</text>
  </threadedComment>
  <threadedComment ref="L4" dT="2024-12-04T13:17:38.76" personId="{C105D089-8C4E-46F2-975C-6B94B71F2B57}" id="{79700A4C-EECB-41DB-843E-9051A9885305}">
    <text>Avtalt med rektor 15.01.25</text>
  </threadedComment>
  <threadedComment ref="M4" dT="2024-12-04T13:19:11.85" personId="{C105D089-8C4E-46F2-975C-6B94B71F2B57}" id="{92844871-CA81-4F9A-958F-2E542220E95E}">
    <text>Anslag gjort av ACV og WHS</text>
  </threadedComment>
  <threadedComment ref="Q4" dT="2025-01-15T11:29:43.95" personId="{C105D089-8C4E-46F2-975C-6B94B71F2B57}" id="{E0401CAD-BAAC-458C-9D12-BDA9B3E90432}">
    <text>Avtalt med WHS 15.01.25</text>
  </threadedComment>
  <threadedComment ref="AG4" dT="2024-11-20T13:19:08.35" personId="{C105D089-8C4E-46F2-975C-6B94B71F2B57}" id="{E14B4725-4037-41FC-8231-CBD7428DDB71}">
    <text>Inklusive modul</text>
  </threadedComment>
  <threadedComment ref="AT4" dT="2024-11-20T13:29:33.21" personId="{C105D089-8C4E-46F2-975C-6B94B71F2B57}" id="{9E519E53-94A7-4381-A1FF-6D5501A63EE2}">
    <text>Modul utgjør 70 plasser</text>
  </threadedComment>
  <threadedComment ref="AW5" dT="2024-11-21T12:01:47.91" personId="{C105D089-8C4E-46F2-975C-6B94B71F2B57}" id="{94585A8E-5B80-43D4-8DD7-35865F8F5144}">
    <text>Tidligere oppgitt 378! 
340 er GSI tall fra oktober 24</text>
  </threadedComment>
  <threadedComment ref="S7" dT="2024-11-22T11:35:46.05" personId="{C105D089-8C4E-46F2-975C-6B94B71F2B57}" id="{5287D77E-50EE-44CC-B377-5F0D3464C279}">
    <text xml:space="preserve">29/30 tall
</text>
  </threadedComment>
  <threadedComment ref="X7" dT="2024-11-22T11:34:40.47" personId="{C105D089-8C4E-46F2-975C-6B94B71F2B57}" id="{095837D9-87C2-41EF-BD3F-B3EFC6C86EFC}">
    <text xml:space="preserve">Tall for 29/30
</text>
  </threadedComment>
  <threadedComment ref="A17" dT="2024-11-22T11:09:09.71" personId="{C105D089-8C4E-46F2-975C-6B94B71F2B57}" id="{AE1AEA39-FB66-4996-A4B6-9EE45249BB8D}">
    <text>Tall uten SFO fordi SFO registrerer antall og ikke årsverk</text>
  </threadedComment>
  <threadedComment ref="B24" dT="2024-12-04T13:30:57.27" personId="{C105D089-8C4E-46F2-975C-6B94B71F2B57}" id="{53E16DDF-3969-4801-B634-18B644A164D1}">
    <text>Vi får ikker årsverk på Sfo. Vurdere om vi skal differensiere basert på kompetanse.</text>
  </threadedComment>
  <threadedComment ref="B30" dT="2024-11-20T09:10:37.29" personId="{C105D089-8C4E-46F2-975C-6B94B71F2B57}" id="{E1559611-56ED-490E-AD34-7B8F4AA1425D}">
    <text>Se udir.no</text>
  </threadedComment>
  <threadedComment ref="A32" dT="2025-02-02T15:10:39.61" personId="{C105D089-8C4E-46F2-975C-6B94B71F2B57}" id="{0578D371-4492-497B-897F-7086C92B357D}">
    <text xml:space="preserve">Tallene inkluderer investeringer </text>
  </threadedComment>
  <threadedComment ref="B33" dT="2025-01-14T08:08:43.53" personId="{C105D089-8C4E-46F2-975C-6B94B71F2B57}" id="{CCD6211A-B217-4823-BC71-68793DE55BB9}">
    <text xml:space="preserve">Grunntildelingen består sådan av (enkelt forklart) en basistildeling (lik for skolene), en grunnressurs iht. lærernormen, en elevtildeling + eventuelt et småskoletillegg for de minste skolene.  
All øvrig tildeling betegnes som noe «ekstra»
</text>
  </threadedComment>
  <threadedComment ref="M33" dT="2024-12-04T14:01:10.76" personId="{C105D089-8C4E-46F2-975C-6B94B71F2B57}" id="{DAFC4EAF-6610-4CF3-84F6-8D425E810EB4}">
    <text>Snitt per elev 234278</text>
  </threadedComment>
  <threadedComment ref="O33" dT="2024-12-04T14:01:48.37" personId="{C105D089-8C4E-46F2-975C-6B94B71F2B57}" id="{68A38B9F-9B03-4DA5-8A8A-442C0D38CD38}">
    <text>Kostnad per elev 110694</text>
  </threadedComment>
  <threadedComment ref="Q33" dT="2024-12-04T14:02:43.89" personId="{C105D089-8C4E-46F2-975C-6B94B71F2B57}" id="{6FADA50C-261E-4D7B-86F5-D33E59AF93BB}">
    <text>Kostnad per elev 382545 er feil!!!</text>
  </threadedComment>
  <threadedComment ref="S33" dT="2024-12-04T14:03:30.17" personId="{C105D089-8C4E-46F2-975C-6B94B71F2B57}" id="{CEC9F842-13F2-4B2B-A7AC-2AC5A20BBF63}">
    <text>Hillesøyskolen</text>
  </threadedComment>
  <threadedComment ref="A36" dT="2024-11-20T10:59:02.16" personId="{C105D089-8C4E-46F2-975C-6B94B71F2B57}" id="{B58A8E30-9240-4D70-BB69-CA84A17E4249}">
    <text xml:space="preserve">Aktuelt for mottakende enheter
For aktuelle enheter må det gjøres en vurdering av antallet barn, elever og medarbeidere det kan være plass til. </text>
  </threadedComment>
  <threadedComment ref="A36" dT="2025-01-31T08:12:59.27" personId="{C105D089-8C4E-46F2-975C-6B94B71F2B57}" id="{AA2F5FC6-7F48-4EB6-B2A3-89C0E6AD3DE9}" parentId="{B58A8E30-9240-4D70-BB69-CA84A17E4249}">
    <text>Arealet er hentet fra regnearket Tromsø kartleggingsbok og er bruttoareal som stemmer overens med tallene i FDV skole og barnehage</text>
  </threadedComment>
  <threadedComment ref="E36" dT="2024-11-28T08:11:27.07" personId="{C105D089-8C4E-46F2-975C-6B94B71F2B57}" id="{4D404D53-5365-4E00-9947-13150F924DF1}">
    <text>Den gamle skolen</text>
  </threadedComment>
  <threadedComment ref="P36" dT="2024-11-28T08:13:11.30" personId="{C105D089-8C4E-46F2-975C-6B94B71F2B57}" id="{40366A30-302D-4E59-A70D-F01A7761E089}">
    <text>Inkl barnehagen</text>
  </threadedComment>
  <threadedComment ref="Q36" dT="2024-11-28T08:13:40.19" personId="{C105D089-8C4E-46F2-975C-6B94B71F2B57}" id="{4A8331BC-4EB4-4155-A88D-E4FD222A647E}">
    <text xml:space="preserve">Inkl barnehagen </text>
  </threadedComment>
  <threadedComment ref="A37" dT="2024-11-20T10:59:02.16" personId="{C105D089-8C4E-46F2-975C-6B94B71F2B57}" id="{F130D2C9-9C83-46E6-9498-860C9A11D617}">
    <text xml:space="preserve">Aktuelt for mottakende enheter
For aktuelle enheter må det gjøres en vurdering av antallet barn, elever og medarbeidere det kan være plass til. Tallene stemmer overens med tallene i FDV skole og barnehage.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B127-D125-4832-95CB-B79ACC7C95F3}">
  <sheetPr>
    <pageSetUpPr fitToPage="1"/>
  </sheetPr>
  <dimension ref="A1:AZ37"/>
  <sheetViews>
    <sheetView zoomScale="110" zoomScaleNormal="110" workbookViewId="0">
      <pane xSplit="2" ySplit="2" topLeftCell="C3" activePane="bottomRight" state="frozen"/>
      <selection pane="bottomRight" activeCell="F9" sqref="F9"/>
      <selection pane="bottomLeft" activeCell="A4" sqref="A4"/>
      <selection pane="topRight" activeCell="C1" sqref="C1"/>
    </sheetView>
  </sheetViews>
  <sheetFormatPr defaultColWidth="11.42578125" defaultRowHeight="15"/>
  <cols>
    <col min="1" max="1" width="31.140625" bestFit="1" customWidth="1"/>
    <col min="2" max="2" width="28.7109375" customWidth="1"/>
    <col min="3" max="7" width="15.7109375" style="47" customWidth="1"/>
    <col min="8" max="9" width="15.7109375" style="48" customWidth="1"/>
    <col min="10" max="11" width="15.7109375" customWidth="1"/>
    <col min="12" max="13" width="15.7109375" style="30" customWidth="1"/>
    <col min="14" max="18" width="15.7109375" style="47" customWidth="1"/>
    <col min="19" max="20" width="15.7109375" style="48" customWidth="1"/>
    <col min="21" max="24" width="16.85546875" customWidth="1"/>
    <col min="25" max="26" width="15.7109375" style="30" customWidth="1"/>
    <col min="27" max="30" width="15.7109375" style="47" customWidth="1"/>
    <col min="31" max="32" width="15.7109375" style="48" customWidth="1"/>
    <col min="33" max="38" width="15.7109375" customWidth="1"/>
    <col min="39" max="40" width="15.7109375" style="30" customWidth="1"/>
    <col min="41" max="44" width="15.7109375" style="47" customWidth="1"/>
    <col min="45" max="46" width="15.7109375" style="48" customWidth="1"/>
    <col min="47" max="50" width="15.7109375" customWidth="1"/>
    <col min="51" max="52" width="15.7109375" style="30" customWidth="1"/>
  </cols>
  <sheetData>
    <row r="1" spans="1:52" ht="32.450000000000003" customHeight="1">
      <c r="A1" s="15" t="s">
        <v>0</v>
      </c>
      <c r="B1" s="16"/>
      <c r="C1" s="191" t="s">
        <v>1</v>
      </c>
      <c r="D1" s="191"/>
      <c r="E1" s="191"/>
      <c r="F1" s="191"/>
      <c r="G1" s="191"/>
      <c r="H1" s="191"/>
      <c r="I1" s="191"/>
      <c r="J1" s="189" t="s">
        <v>2</v>
      </c>
      <c r="K1" s="189"/>
      <c r="L1" s="189"/>
      <c r="M1" s="189"/>
      <c r="N1" s="190" t="s">
        <v>3</v>
      </c>
      <c r="O1" s="190"/>
      <c r="P1" s="190"/>
      <c r="Q1" s="190"/>
      <c r="R1" s="190"/>
      <c r="S1" s="190"/>
      <c r="T1" s="190"/>
      <c r="U1" s="189" t="s">
        <v>4</v>
      </c>
      <c r="V1" s="189"/>
      <c r="W1" s="189"/>
      <c r="X1" s="189"/>
      <c r="Y1" s="189"/>
      <c r="Z1" s="189"/>
      <c r="AA1" s="191" t="s">
        <v>5</v>
      </c>
      <c r="AB1" s="191"/>
      <c r="AC1" s="191"/>
      <c r="AD1" s="191"/>
      <c r="AE1" s="191"/>
      <c r="AF1" s="191"/>
      <c r="AG1" s="189" t="s">
        <v>6</v>
      </c>
      <c r="AH1" s="189"/>
      <c r="AI1" s="189"/>
      <c r="AJ1" s="189"/>
      <c r="AK1" s="189"/>
      <c r="AL1" s="189"/>
      <c r="AM1" s="189"/>
      <c r="AN1" s="189"/>
      <c r="AO1" s="191" t="s">
        <v>7</v>
      </c>
      <c r="AP1" s="191"/>
      <c r="AQ1" s="191"/>
      <c r="AR1" s="191"/>
      <c r="AS1" s="191"/>
      <c r="AT1" s="191"/>
      <c r="AU1" s="189" t="s">
        <v>8</v>
      </c>
      <c r="AV1" s="189"/>
      <c r="AW1" s="189"/>
      <c r="AX1" s="189"/>
      <c r="AY1" s="189"/>
      <c r="AZ1" s="189"/>
    </row>
    <row r="2" spans="1:52" ht="43.5" thickBot="1">
      <c r="A2" s="17" t="s">
        <v>9</v>
      </c>
      <c r="B2" s="18" t="s">
        <v>10</v>
      </c>
      <c r="C2" s="37" t="s">
        <v>11</v>
      </c>
      <c r="D2" s="37" t="s">
        <v>12</v>
      </c>
      <c r="E2" s="37" t="s">
        <v>13</v>
      </c>
      <c r="F2" s="37" t="s">
        <v>14</v>
      </c>
      <c r="G2" s="37" t="s">
        <v>15</v>
      </c>
      <c r="H2" s="38" t="s">
        <v>16</v>
      </c>
      <c r="I2" s="38" t="s">
        <v>17</v>
      </c>
      <c r="J2" s="19" t="s">
        <v>18</v>
      </c>
      <c r="K2" s="19" t="s">
        <v>19</v>
      </c>
      <c r="L2" s="29" t="s">
        <v>16</v>
      </c>
      <c r="M2" s="29" t="s">
        <v>20</v>
      </c>
      <c r="N2" s="37" t="s">
        <v>21</v>
      </c>
      <c r="O2" s="49" t="s">
        <v>22</v>
      </c>
      <c r="P2" s="37" t="s">
        <v>23</v>
      </c>
      <c r="Q2" s="37" t="s">
        <v>24</v>
      </c>
      <c r="R2" s="37" t="s">
        <v>25</v>
      </c>
      <c r="S2" s="38" t="s">
        <v>16</v>
      </c>
      <c r="T2" s="38" t="s">
        <v>26</v>
      </c>
      <c r="U2" s="19" t="s">
        <v>27</v>
      </c>
      <c r="V2" s="19" t="s">
        <v>28</v>
      </c>
      <c r="W2" s="19" t="s">
        <v>29</v>
      </c>
      <c r="X2" s="19" t="s">
        <v>30</v>
      </c>
      <c r="Y2" s="29" t="s">
        <v>16</v>
      </c>
      <c r="Z2" s="29" t="s">
        <v>31</v>
      </c>
      <c r="AA2" s="37" t="s">
        <v>32</v>
      </c>
      <c r="AB2" s="37" t="s">
        <v>33</v>
      </c>
      <c r="AC2" s="37" t="s">
        <v>34</v>
      </c>
      <c r="AD2" s="37" t="s">
        <v>35</v>
      </c>
      <c r="AE2" s="38" t="s">
        <v>16</v>
      </c>
      <c r="AF2" s="38" t="s">
        <v>36</v>
      </c>
      <c r="AG2" s="19" t="s">
        <v>37</v>
      </c>
      <c r="AH2" s="20" t="s">
        <v>38</v>
      </c>
      <c r="AI2" s="20" t="s">
        <v>39</v>
      </c>
      <c r="AJ2" s="20" t="s">
        <v>40</v>
      </c>
      <c r="AK2" s="20" t="s">
        <v>41</v>
      </c>
      <c r="AL2" s="20" t="s">
        <v>42</v>
      </c>
      <c r="AM2" s="29" t="s">
        <v>16</v>
      </c>
      <c r="AN2" s="29" t="s">
        <v>43</v>
      </c>
      <c r="AO2" s="49" t="s">
        <v>44</v>
      </c>
      <c r="AP2" s="49" t="s">
        <v>45</v>
      </c>
      <c r="AQ2" s="49" t="s">
        <v>46</v>
      </c>
      <c r="AR2" s="49" t="s">
        <v>47</v>
      </c>
      <c r="AS2" s="38" t="s">
        <v>16</v>
      </c>
      <c r="AT2" s="38" t="s">
        <v>48</v>
      </c>
      <c r="AU2" s="20" t="s">
        <v>49</v>
      </c>
      <c r="AV2" s="20" t="s">
        <v>50</v>
      </c>
      <c r="AW2" s="20" t="s">
        <v>51</v>
      </c>
      <c r="AX2" s="20" t="s">
        <v>52</v>
      </c>
      <c r="AY2" s="29" t="s">
        <v>16</v>
      </c>
      <c r="AZ2" s="29" t="s">
        <v>53</v>
      </c>
    </row>
    <row r="3" spans="1:52" ht="28.5">
      <c r="A3" s="165" t="s">
        <v>54</v>
      </c>
      <c r="B3" s="166" t="s">
        <v>55</v>
      </c>
      <c r="C3" s="171">
        <v>73.8</v>
      </c>
      <c r="D3" s="171">
        <v>112</v>
      </c>
      <c r="E3" s="171">
        <v>56</v>
      </c>
      <c r="F3" s="171">
        <v>136</v>
      </c>
      <c r="G3" s="171">
        <v>258</v>
      </c>
      <c r="H3" s="167"/>
      <c r="I3" s="167"/>
      <c r="J3" s="166">
        <v>104</v>
      </c>
      <c r="K3" s="166">
        <v>145</v>
      </c>
      <c r="L3" s="172"/>
      <c r="M3" s="172"/>
      <c r="N3" s="173">
        <v>405</v>
      </c>
      <c r="O3" s="173">
        <v>311</v>
      </c>
      <c r="P3" s="173">
        <v>241</v>
      </c>
      <c r="Q3" s="174">
        <v>229.3</v>
      </c>
      <c r="R3" s="174">
        <v>342.2</v>
      </c>
      <c r="S3" s="173"/>
      <c r="T3" s="170">
        <f>S3/5</f>
        <v>0</v>
      </c>
      <c r="U3" s="175">
        <v>342</v>
      </c>
      <c r="V3" s="175">
        <v>229</v>
      </c>
      <c r="W3" s="176">
        <v>405</v>
      </c>
      <c r="X3" s="176">
        <v>330.5</v>
      </c>
      <c r="Y3" s="177"/>
      <c r="Z3" s="178"/>
      <c r="AA3" s="179">
        <v>330.5</v>
      </c>
      <c r="AB3" s="179">
        <v>340</v>
      </c>
      <c r="AC3" s="180">
        <v>251.4</v>
      </c>
      <c r="AD3" s="180">
        <v>270</v>
      </c>
      <c r="AE3" s="170"/>
      <c r="AF3" s="170"/>
      <c r="AG3" s="181">
        <v>137.4</v>
      </c>
      <c r="AH3" s="181">
        <v>472</v>
      </c>
      <c r="AI3" s="181">
        <v>343</v>
      </c>
      <c r="AJ3" s="181">
        <v>456</v>
      </c>
      <c r="AK3" s="181">
        <v>155</v>
      </c>
      <c r="AL3" s="181">
        <v>464.2</v>
      </c>
      <c r="AM3" s="172"/>
      <c r="AN3" s="172"/>
      <c r="AO3" s="182">
        <v>241</v>
      </c>
      <c r="AP3" s="182">
        <v>237.4</v>
      </c>
      <c r="AQ3" s="182">
        <v>244.8</v>
      </c>
      <c r="AR3" s="182">
        <v>312.39999999999998</v>
      </c>
      <c r="AS3" s="167"/>
      <c r="AT3" s="167"/>
      <c r="AU3" s="183">
        <v>300</v>
      </c>
      <c r="AV3" s="183">
        <v>343</v>
      </c>
      <c r="AW3" s="183">
        <v>381.9</v>
      </c>
      <c r="AX3" s="183">
        <v>245.4</v>
      </c>
      <c r="AY3" s="172"/>
      <c r="AZ3" s="172"/>
    </row>
    <row r="4" spans="1:52" ht="71.25">
      <c r="A4" s="8" t="s">
        <v>56</v>
      </c>
      <c r="B4" s="1" t="s">
        <v>57</v>
      </c>
      <c r="C4" s="184">
        <v>17</v>
      </c>
      <c r="D4" s="184">
        <v>26</v>
      </c>
      <c r="E4" s="184">
        <v>13</v>
      </c>
      <c r="F4" s="184">
        <v>31</v>
      </c>
      <c r="G4" s="184">
        <v>59</v>
      </c>
      <c r="H4" s="39">
        <f>SUM(C4:G4)</f>
        <v>146</v>
      </c>
      <c r="I4" s="39">
        <f>H4/5</f>
        <v>29.2</v>
      </c>
      <c r="J4" s="185">
        <v>24</v>
      </c>
      <c r="K4" s="185">
        <v>33</v>
      </c>
      <c r="L4" s="32">
        <f t="shared" ref="L4:L22" si="0">SUM(J4:K4)</f>
        <v>57</v>
      </c>
      <c r="M4" s="32">
        <f>L4/2</f>
        <v>28.5</v>
      </c>
      <c r="N4" s="184">
        <v>93</v>
      </c>
      <c r="O4" s="184">
        <v>72</v>
      </c>
      <c r="P4" s="184">
        <v>55</v>
      </c>
      <c r="Q4" s="184">
        <v>53</v>
      </c>
      <c r="R4" s="184">
        <v>79</v>
      </c>
      <c r="S4" s="39">
        <f>SUM(N4:R4)</f>
        <v>352</v>
      </c>
      <c r="T4" s="39">
        <f>S4/2</f>
        <v>176</v>
      </c>
      <c r="U4" s="185">
        <v>79</v>
      </c>
      <c r="V4" s="185">
        <v>53</v>
      </c>
      <c r="W4" s="185">
        <v>93</v>
      </c>
      <c r="X4" s="185">
        <v>76</v>
      </c>
      <c r="Y4" s="32">
        <f>SUM(U4:X4)</f>
        <v>301</v>
      </c>
      <c r="Z4" s="32">
        <f>Y4/4</f>
        <v>75.25</v>
      </c>
      <c r="AA4" s="186">
        <v>76</v>
      </c>
      <c r="AB4" s="186">
        <v>78</v>
      </c>
      <c r="AC4" s="186">
        <v>58</v>
      </c>
      <c r="AD4" s="186">
        <v>36</v>
      </c>
      <c r="AE4" s="39">
        <f>SUM(AA4:AD4)</f>
        <v>248</v>
      </c>
      <c r="AF4" s="39">
        <f>AE4/4</f>
        <v>62</v>
      </c>
      <c r="AG4" s="187">
        <v>32</v>
      </c>
      <c r="AH4" s="188">
        <v>109</v>
      </c>
      <c r="AI4" s="188">
        <v>79</v>
      </c>
      <c r="AJ4" s="188">
        <v>105</v>
      </c>
      <c r="AK4" s="188">
        <v>36</v>
      </c>
      <c r="AL4" s="188">
        <v>107</v>
      </c>
      <c r="AM4" s="32">
        <f>SUM(AG4:AL4)</f>
        <v>468</v>
      </c>
      <c r="AN4" s="32">
        <f>AM4/6</f>
        <v>78</v>
      </c>
      <c r="AO4" s="186">
        <v>55</v>
      </c>
      <c r="AP4" s="186">
        <v>55</v>
      </c>
      <c r="AQ4" s="186">
        <v>56</v>
      </c>
      <c r="AR4" s="186">
        <v>72</v>
      </c>
      <c r="AS4" s="39">
        <f>SUM(AO4:AR4)</f>
        <v>238</v>
      </c>
      <c r="AT4" s="39">
        <f>AS4/4</f>
        <v>59.5</v>
      </c>
      <c r="AU4" s="188">
        <v>69</v>
      </c>
      <c r="AV4" s="188">
        <v>79</v>
      </c>
      <c r="AW4" s="188">
        <v>88</v>
      </c>
      <c r="AX4" s="188">
        <v>56</v>
      </c>
      <c r="AY4" s="32">
        <f>SUM(AU4:AX4)</f>
        <v>292</v>
      </c>
      <c r="AZ4" s="32">
        <f>AY4/4</f>
        <v>73</v>
      </c>
    </row>
    <row r="5" spans="1:52" ht="51.75" customHeight="1">
      <c r="A5" s="1" t="s">
        <v>58</v>
      </c>
      <c r="B5" s="2" t="s">
        <v>59</v>
      </c>
      <c r="C5" s="40">
        <f t="shared" ref="C5:AX5" si="1">(C7*2)+C8</f>
        <v>14</v>
      </c>
      <c r="D5" s="40">
        <f t="shared" si="1"/>
        <v>21</v>
      </c>
      <c r="E5" s="40">
        <f t="shared" si="1"/>
        <v>19</v>
      </c>
      <c r="F5" s="40">
        <f t="shared" si="1"/>
        <v>18</v>
      </c>
      <c r="G5" s="40">
        <f t="shared" si="1"/>
        <v>28</v>
      </c>
      <c r="H5" s="39">
        <f t="shared" ref="H5:H8" si="2">SUM(C5:G5)</f>
        <v>100</v>
      </c>
      <c r="I5" s="39">
        <f t="shared" ref="I5:I8" si="3">H5/5</f>
        <v>20</v>
      </c>
      <c r="J5" s="4">
        <f t="shared" si="1"/>
        <v>9</v>
      </c>
      <c r="K5" s="4">
        <f t="shared" si="1"/>
        <v>42</v>
      </c>
      <c r="L5" s="32">
        <f t="shared" si="0"/>
        <v>51</v>
      </c>
      <c r="M5" s="32">
        <f t="shared" ref="M5:M28" si="4">L5/2</f>
        <v>25.5</v>
      </c>
      <c r="N5" s="40">
        <f t="shared" si="1"/>
        <v>78</v>
      </c>
      <c r="O5" s="40">
        <f t="shared" si="1"/>
        <v>52</v>
      </c>
      <c r="P5" s="40">
        <f t="shared" si="1"/>
        <v>64</v>
      </c>
      <c r="Q5" s="40">
        <f t="shared" si="1"/>
        <v>55</v>
      </c>
      <c r="R5" s="40">
        <f t="shared" si="1"/>
        <v>82</v>
      </c>
      <c r="S5" s="39">
        <f t="shared" ref="S5:S22" si="5">SUM(N5:R5)</f>
        <v>331</v>
      </c>
      <c r="T5" s="39">
        <f t="shared" ref="T5:T17" si="6">S5/2</f>
        <v>165.5</v>
      </c>
      <c r="U5" s="4">
        <f t="shared" si="1"/>
        <v>70</v>
      </c>
      <c r="V5" s="4">
        <f t="shared" si="1"/>
        <v>64</v>
      </c>
      <c r="W5" s="4">
        <f t="shared" si="1"/>
        <v>58</v>
      </c>
      <c r="X5" s="4">
        <f t="shared" si="1"/>
        <v>67</v>
      </c>
      <c r="Y5" s="32">
        <f t="shared" ref="Y5:Y28" si="7">SUM(U5:X5)</f>
        <v>259</v>
      </c>
      <c r="Z5" s="32">
        <f t="shared" ref="Z5:Z28" si="8">Y5/4</f>
        <v>64.75</v>
      </c>
      <c r="AA5" s="40">
        <f t="shared" si="1"/>
        <v>65</v>
      </c>
      <c r="AB5" s="40">
        <f t="shared" si="1"/>
        <v>94</v>
      </c>
      <c r="AC5" s="40">
        <f t="shared" si="1"/>
        <v>76</v>
      </c>
      <c r="AD5" s="40">
        <f t="shared" si="1"/>
        <v>43</v>
      </c>
      <c r="AE5" s="39">
        <f t="shared" ref="AE5:AE28" si="9">SUM(AA5:AD5)</f>
        <v>278</v>
      </c>
      <c r="AF5" s="39">
        <f t="shared" ref="AF5:AF28" si="10">AE5/4</f>
        <v>69.5</v>
      </c>
      <c r="AG5" s="22">
        <f t="shared" si="1"/>
        <v>36</v>
      </c>
      <c r="AH5" s="4">
        <f t="shared" si="1"/>
        <v>133</v>
      </c>
      <c r="AI5" s="4">
        <f t="shared" si="1"/>
        <v>55</v>
      </c>
      <c r="AJ5" s="4">
        <f t="shared" si="1"/>
        <v>131</v>
      </c>
      <c r="AK5" s="4">
        <f t="shared" si="1"/>
        <v>38</v>
      </c>
      <c r="AL5" s="4">
        <f t="shared" si="1"/>
        <v>126</v>
      </c>
      <c r="AM5" s="32">
        <f t="shared" ref="AM5:AM28" si="11">SUM(AG5:AL5)</f>
        <v>519</v>
      </c>
      <c r="AN5" s="32">
        <f t="shared" ref="AN5:AN28" si="12">AM5/6</f>
        <v>86.5</v>
      </c>
      <c r="AO5" s="40">
        <f t="shared" si="1"/>
        <v>70</v>
      </c>
      <c r="AP5" s="40">
        <f t="shared" si="1"/>
        <v>71</v>
      </c>
      <c r="AQ5" s="40">
        <f t="shared" si="1"/>
        <v>72</v>
      </c>
      <c r="AR5" s="40">
        <f t="shared" si="1"/>
        <v>54</v>
      </c>
      <c r="AS5" s="39">
        <f t="shared" ref="AS5:AS28" si="13">SUM(AO5:AR5)</f>
        <v>267</v>
      </c>
      <c r="AT5" s="39">
        <f t="shared" ref="AT5:AT28" si="14">AS5/4</f>
        <v>66.75</v>
      </c>
      <c r="AU5" s="4">
        <f t="shared" si="1"/>
        <v>84</v>
      </c>
      <c r="AV5" s="4">
        <f t="shared" si="1"/>
        <v>97</v>
      </c>
      <c r="AW5" s="4">
        <f t="shared" si="1"/>
        <v>113</v>
      </c>
      <c r="AX5" s="4">
        <f t="shared" si="1"/>
        <v>69</v>
      </c>
      <c r="AY5" s="32">
        <f t="shared" ref="AY5:AY28" si="15">SUM(AU5:AX5)</f>
        <v>363</v>
      </c>
      <c r="AZ5" s="32">
        <f t="shared" ref="AZ5:AZ28" si="16">AY5/4</f>
        <v>90.75</v>
      </c>
    </row>
    <row r="6" spans="1:52" ht="35.25" customHeight="1">
      <c r="A6" s="2" t="s">
        <v>60</v>
      </c>
      <c r="B6" s="23" t="s">
        <v>61</v>
      </c>
      <c r="C6" s="40">
        <f>C7+C8</f>
        <v>8</v>
      </c>
      <c r="D6" s="40">
        <f t="shared" ref="D6:AX6" si="17">D7+D8</f>
        <v>16</v>
      </c>
      <c r="E6" s="40">
        <v>12</v>
      </c>
      <c r="F6" s="40">
        <f t="shared" si="17"/>
        <v>13</v>
      </c>
      <c r="G6" s="40">
        <f t="shared" si="17"/>
        <v>20</v>
      </c>
      <c r="H6" s="39">
        <f t="shared" si="2"/>
        <v>69</v>
      </c>
      <c r="I6" s="39">
        <f t="shared" si="3"/>
        <v>13.8</v>
      </c>
      <c r="J6" s="4">
        <f t="shared" si="17"/>
        <v>6</v>
      </c>
      <c r="K6" s="4">
        <f t="shared" si="17"/>
        <v>30</v>
      </c>
      <c r="L6" s="32">
        <f t="shared" si="0"/>
        <v>36</v>
      </c>
      <c r="M6" s="32">
        <f t="shared" si="4"/>
        <v>18</v>
      </c>
      <c r="N6" s="40">
        <f t="shared" si="17"/>
        <v>54</v>
      </c>
      <c r="O6" s="40">
        <f t="shared" si="17"/>
        <v>36</v>
      </c>
      <c r="P6" s="40">
        <f t="shared" si="17"/>
        <v>45</v>
      </c>
      <c r="Q6" s="40">
        <f t="shared" si="17"/>
        <v>37</v>
      </c>
      <c r="R6" s="40">
        <f t="shared" si="17"/>
        <v>59</v>
      </c>
      <c r="S6" s="39">
        <f t="shared" si="5"/>
        <v>231</v>
      </c>
      <c r="T6" s="39">
        <f t="shared" si="6"/>
        <v>115.5</v>
      </c>
      <c r="U6" s="4">
        <f t="shared" si="17"/>
        <v>52</v>
      </c>
      <c r="V6" s="4">
        <f t="shared" si="17"/>
        <v>47</v>
      </c>
      <c r="W6" s="4">
        <f t="shared" si="17"/>
        <v>41</v>
      </c>
      <c r="X6" s="4">
        <f t="shared" si="17"/>
        <v>48</v>
      </c>
      <c r="Y6" s="32">
        <f t="shared" si="7"/>
        <v>188</v>
      </c>
      <c r="Z6" s="32">
        <f t="shared" si="8"/>
        <v>47</v>
      </c>
      <c r="AA6" s="40">
        <f t="shared" si="17"/>
        <v>47</v>
      </c>
      <c r="AB6" s="40">
        <f t="shared" si="17"/>
        <v>65</v>
      </c>
      <c r="AC6" s="40">
        <f t="shared" si="17"/>
        <v>56</v>
      </c>
      <c r="AD6" s="40">
        <f t="shared" si="17"/>
        <v>29</v>
      </c>
      <c r="AE6" s="39">
        <f t="shared" si="9"/>
        <v>197</v>
      </c>
      <c r="AF6" s="39">
        <f t="shared" si="10"/>
        <v>49.25</v>
      </c>
      <c r="AG6" s="22">
        <f t="shared" si="17"/>
        <v>25</v>
      </c>
      <c r="AH6" s="4">
        <f t="shared" si="17"/>
        <v>90</v>
      </c>
      <c r="AI6" s="4">
        <f t="shared" si="17"/>
        <v>38</v>
      </c>
      <c r="AJ6" s="4">
        <f t="shared" si="17"/>
        <v>92</v>
      </c>
      <c r="AK6" s="4">
        <f t="shared" si="17"/>
        <v>28</v>
      </c>
      <c r="AL6" s="4">
        <f t="shared" si="17"/>
        <v>88</v>
      </c>
      <c r="AM6" s="32">
        <f t="shared" si="11"/>
        <v>361</v>
      </c>
      <c r="AN6" s="32">
        <f t="shared" si="12"/>
        <v>60.166666666666664</v>
      </c>
      <c r="AO6" s="40">
        <f t="shared" si="17"/>
        <v>53</v>
      </c>
      <c r="AP6" s="40">
        <f t="shared" si="17"/>
        <v>50</v>
      </c>
      <c r="AQ6" s="40">
        <f t="shared" si="17"/>
        <v>54</v>
      </c>
      <c r="AR6" s="40">
        <f t="shared" si="17"/>
        <v>36</v>
      </c>
      <c r="AS6" s="39">
        <f t="shared" si="13"/>
        <v>193</v>
      </c>
      <c r="AT6" s="39">
        <f t="shared" si="14"/>
        <v>48.25</v>
      </c>
      <c r="AU6" s="4">
        <f t="shared" si="17"/>
        <v>56</v>
      </c>
      <c r="AV6" s="4">
        <f t="shared" si="17"/>
        <v>66</v>
      </c>
      <c r="AW6" s="4">
        <f t="shared" si="17"/>
        <v>85</v>
      </c>
      <c r="AX6" s="4">
        <f t="shared" si="17"/>
        <v>50</v>
      </c>
      <c r="AY6" s="32">
        <f t="shared" si="15"/>
        <v>257</v>
      </c>
      <c r="AZ6" s="32">
        <f t="shared" si="16"/>
        <v>64.25</v>
      </c>
    </row>
    <row r="7" spans="1:52" ht="35.25" customHeight="1">
      <c r="A7" s="2" t="s">
        <v>62</v>
      </c>
      <c r="B7" s="1" t="s">
        <v>63</v>
      </c>
      <c r="C7" s="40">
        <v>6</v>
      </c>
      <c r="D7" s="40">
        <v>5</v>
      </c>
      <c r="E7" s="40">
        <v>7</v>
      </c>
      <c r="F7" s="40">
        <v>5</v>
      </c>
      <c r="G7" s="40">
        <v>8</v>
      </c>
      <c r="H7" s="39">
        <f t="shared" si="2"/>
        <v>31</v>
      </c>
      <c r="I7" s="39">
        <f t="shared" si="3"/>
        <v>6.2</v>
      </c>
      <c r="J7" s="4">
        <v>3</v>
      </c>
      <c r="K7" s="4">
        <v>12</v>
      </c>
      <c r="L7" s="32">
        <f t="shared" si="0"/>
        <v>15</v>
      </c>
      <c r="M7" s="32">
        <f t="shared" si="4"/>
        <v>7.5</v>
      </c>
      <c r="N7" s="40">
        <v>24</v>
      </c>
      <c r="O7" s="40">
        <v>16</v>
      </c>
      <c r="P7" s="40">
        <v>19</v>
      </c>
      <c r="Q7" s="40">
        <v>18</v>
      </c>
      <c r="R7" s="40">
        <v>23</v>
      </c>
      <c r="S7" s="39">
        <f t="shared" si="5"/>
        <v>100</v>
      </c>
      <c r="T7" s="39">
        <f t="shared" si="6"/>
        <v>50</v>
      </c>
      <c r="U7" s="4">
        <v>18</v>
      </c>
      <c r="V7" s="4">
        <v>17</v>
      </c>
      <c r="W7" s="4">
        <v>17</v>
      </c>
      <c r="X7" s="4">
        <v>19</v>
      </c>
      <c r="Y7" s="32">
        <f t="shared" si="7"/>
        <v>71</v>
      </c>
      <c r="Z7" s="32">
        <f t="shared" si="8"/>
        <v>17.75</v>
      </c>
      <c r="AA7" s="52">
        <v>18</v>
      </c>
      <c r="AB7" s="52">
        <v>29</v>
      </c>
      <c r="AC7" s="52">
        <v>20</v>
      </c>
      <c r="AD7" s="52">
        <v>14</v>
      </c>
      <c r="AE7" s="39">
        <f t="shared" si="9"/>
        <v>81</v>
      </c>
      <c r="AF7" s="39">
        <f t="shared" si="10"/>
        <v>20.25</v>
      </c>
      <c r="AG7" s="22">
        <v>11</v>
      </c>
      <c r="AH7" s="4">
        <v>43</v>
      </c>
      <c r="AI7" s="4">
        <v>17</v>
      </c>
      <c r="AJ7" s="4">
        <v>39</v>
      </c>
      <c r="AK7" s="4">
        <v>10</v>
      </c>
      <c r="AL7" s="4">
        <v>38</v>
      </c>
      <c r="AM7" s="32">
        <f t="shared" si="11"/>
        <v>158</v>
      </c>
      <c r="AN7" s="32">
        <f t="shared" si="12"/>
        <v>26.333333333333332</v>
      </c>
      <c r="AO7" s="40">
        <v>17</v>
      </c>
      <c r="AP7" s="40">
        <v>21</v>
      </c>
      <c r="AQ7" s="40">
        <v>18</v>
      </c>
      <c r="AR7" s="40">
        <v>18</v>
      </c>
      <c r="AS7" s="39">
        <f t="shared" si="13"/>
        <v>74</v>
      </c>
      <c r="AT7" s="39">
        <f t="shared" si="14"/>
        <v>18.5</v>
      </c>
      <c r="AU7" s="4">
        <v>28</v>
      </c>
      <c r="AV7" s="4">
        <v>31</v>
      </c>
      <c r="AW7" s="4">
        <v>28</v>
      </c>
      <c r="AX7" s="4">
        <v>19</v>
      </c>
      <c r="AY7" s="32">
        <f t="shared" si="15"/>
        <v>106</v>
      </c>
      <c r="AZ7" s="32">
        <f t="shared" si="16"/>
        <v>26.5</v>
      </c>
    </row>
    <row r="8" spans="1:52" ht="35.25" customHeight="1">
      <c r="A8" s="2" t="s">
        <v>64</v>
      </c>
      <c r="B8" s="1" t="s">
        <v>65</v>
      </c>
      <c r="C8" s="40">
        <v>2</v>
      </c>
      <c r="D8" s="40">
        <v>11</v>
      </c>
      <c r="E8" s="40">
        <v>5</v>
      </c>
      <c r="F8" s="40">
        <v>8</v>
      </c>
      <c r="G8" s="40">
        <v>12</v>
      </c>
      <c r="H8" s="39">
        <f t="shared" si="2"/>
        <v>38</v>
      </c>
      <c r="I8" s="39">
        <f t="shared" si="3"/>
        <v>7.6</v>
      </c>
      <c r="J8" s="4">
        <v>3</v>
      </c>
      <c r="K8" s="4">
        <v>18</v>
      </c>
      <c r="L8" s="32">
        <f t="shared" si="0"/>
        <v>21</v>
      </c>
      <c r="M8" s="32">
        <f t="shared" si="4"/>
        <v>10.5</v>
      </c>
      <c r="N8" s="40">
        <v>30</v>
      </c>
      <c r="O8" s="40">
        <v>20</v>
      </c>
      <c r="P8" s="40">
        <v>26</v>
      </c>
      <c r="Q8" s="40">
        <v>19</v>
      </c>
      <c r="R8" s="40">
        <v>36</v>
      </c>
      <c r="S8" s="39">
        <f t="shared" si="5"/>
        <v>131</v>
      </c>
      <c r="T8" s="39">
        <f t="shared" si="6"/>
        <v>65.5</v>
      </c>
      <c r="U8" s="4">
        <v>34</v>
      </c>
      <c r="V8" s="4">
        <v>30</v>
      </c>
      <c r="W8" s="4">
        <v>24</v>
      </c>
      <c r="X8" s="4">
        <v>29</v>
      </c>
      <c r="Y8" s="32">
        <f t="shared" si="7"/>
        <v>117</v>
      </c>
      <c r="Z8" s="32">
        <f t="shared" si="8"/>
        <v>29.25</v>
      </c>
      <c r="AA8" s="52">
        <v>29</v>
      </c>
      <c r="AB8" s="52">
        <v>36</v>
      </c>
      <c r="AC8" s="52">
        <v>36</v>
      </c>
      <c r="AD8" s="52">
        <v>15</v>
      </c>
      <c r="AE8" s="39">
        <f t="shared" si="9"/>
        <v>116</v>
      </c>
      <c r="AF8" s="39">
        <f t="shared" si="10"/>
        <v>29</v>
      </c>
      <c r="AG8" s="22">
        <v>14</v>
      </c>
      <c r="AH8" s="4">
        <v>47</v>
      </c>
      <c r="AI8" s="4">
        <v>21</v>
      </c>
      <c r="AJ8" s="4">
        <v>53</v>
      </c>
      <c r="AK8" s="4">
        <v>18</v>
      </c>
      <c r="AL8" s="4">
        <v>50</v>
      </c>
      <c r="AM8" s="32">
        <f t="shared" si="11"/>
        <v>203</v>
      </c>
      <c r="AN8" s="32">
        <f t="shared" si="12"/>
        <v>33.833333333333336</v>
      </c>
      <c r="AO8" s="40">
        <v>36</v>
      </c>
      <c r="AP8" s="40">
        <v>29</v>
      </c>
      <c r="AQ8" s="40">
        <v>36</v>
      </c>
      <c r="AR8" s="40">
        <v>18</v>
      </c>
      <c r="AS8" s="39">
        <f t="shared" si="13"/>
        <v>119</v>
      </c>
      <c r="AT8" s="39">
        <f t="shared" si="14"/>
        <v>29.75</v>
      </c>
      <c r="AU8" s="4">
        <v>28</v>
      </c>
      <c r="AV8" s="4">
        <v>35</v>
      </c>
      <c r="AW8" s="4">
        <v>57</v>
      </c>
      <c r="AX8" s="4">
        <v>31</v>
      </c>
      <c r="AY8" s="32">
        <f t="shared" si="15"/>
        <v>151</v>
      </c>
      <c r="AZ8" s="32">
        <f t="shared" si="16"/>
        <v>37.75</v>
      </c>
    </row>
    <row r="9" spans="1:52" ht="50.25" customHeight="1">
      <c r="A9" s="2" t="s">
        <v>66</v>
      </c>
      <c r="B9" s="1" t="s">
        <v>67</v>
      </c>
      <c r="C9" s="41">
        <f>C6/C4</f>
        <v>0.47058823529411764</v>
      </c>
      <c r="D9" s="41">
        <f t="shared" ref="D9:AZ9" si="18">D6/D4</f>
        <v>0.61538461538461542</v>
      </c>
      <c r="E9" s="41">
        <f t="shared" si="18"/>
        <v>0.92307692307692313</v>
      </c>
      <c r="F9" s="41">
        <f t="shared" si="18"/>
        <v>0.41935483870967744</v>
      </c>
      <c r="G9" s="41">
        <f t="shared" si="18"/>
        <v>0.33898305084745761</v>
      </c>
      <c r="H9" s="41">
        <f t="shared" si="18"/>
        <v>0.4726027397260274</v>
      </c>
      <c r="I9" s="41">
        <f t="shared" si="18"/>
        <v>0.47260273972602745</v>
      </c>
      <c r="J9" s="24">
        <f t="shared" si="18"/>
        <v>0.25</v>
      </c>
      <c r="K9" s="24">
        <f t="shared" si="18"/>
        <v>0.90909090909090906</v>
      </c>
      <c r="L9" s="24">
        <f t="shared" si="18"/>
        <v>0.63157894736842102</v>
      </c>
      <c r="M9" s="24">
        <f t="shared" si="18"/>
        <v>0.63157894736842102</v>
      </c>
      <c r="N9" s="41">
        <f t="shared" si="18"/>
        <v>0.58064516129032262</v>
      </c>
      <c r="O9" s="41">
        <f t="shared" si="18"/>
        <v>0.5</v>
      </c>
      <c r="P9" s="41">
        <f t="shared" si="18"/>
        <v>0.81818181818181823</v>
      </c>
      <c r="Q9" s="41">
        <f t="shared" si="18"/>
        <v>0.69811320754716977</v>
      </c>
      <c r="R9" s="41">
        <f t="shared" si="18"/>
        <v>0.74683544303797467</v>
      </c>
      <c r="S9" s="41">
        <f t="shared" si="18"/>
        <v>0.65625</v>
      </c>
      <c r="T9" s="41">
        <f t="shared" si="18"/>
        <v>0.65625</v>
      </c>
      <c r="U9" s="24">
        <f t="shared" si="18"/>
        <v>0.65822784810126578</v>
      </c>
      <c r="V9" s="24">
        <f t="shared" si="18"/>
        <v>0.8867924528301887</v>
      </c>
      <c r="W9" s="24">
        <f t="shared" si="18"/>
        <v>0.44086021505376344</v>
      </c>
      <c r="X9" s="24">
        <f t="shared" si="18"/>
        <v>0.63157894736842102</v>
      </c>
      <c r="Y9" s="24">
        <f t="shared" si="18"/>
        <v>0.62458471760797341</v>
      </c>
      <c r="Z9" s="24">
        <f t="shared" si="18"/>
        <v>0.62458471760797341</v>
      </c>
      <c r="AA9" s="41">
        <f t="shared" si="18"/>
        <v>0.61842105263157898</v>
      </c>
      <c r="AB9" s="41">
        <f t="shared" si="18"/>
        <v>0.83333333333333337</v>
      </c>
      <c r="AC9" s="41">
        <f t="shared" si="18"/>
        <v>0.96551724137931039</v>
      </c>
      <c r="AD9" s="41">
        <f t="shared" si="18"/>
        <v>0.80555555555555558</v>
      </c>
      <c r="AE9" s="41">
        <f t="shared" si="18"/>
        <v>0.79435483870967738</v>
      </c>
      <c r="AF9" s="41">
        <f t="shared" si="18"/>
        <v>0.79435483870967738</v>
      </c>
      <c r="AG9" s="24">
        <f t="shared" si="18"/>
        <v>0.78125</v>
      </c>
      <c r="AH9" s="24">
        <f t="shared" si="18"/>
        <v>0.82568807339449546</v>
      </c>
      <c r="AI9" s="24">
        <f t="shared" si="18"/>
        <v>0.48101265822784811</v>
      </c>
      <c r="AJ9" s="24">
        <f t="shared" si="18"/>
        <v>0.87619047619047619</v>
      </c>
      <c r="AK9" s="24">
        <f t="shared" si="18"/>
        <v>0.77777777777777779</v>
      </c>
      <c r="AL9" s="24">
        <f t="shared" si="18"/>
        <v>0.82242990654205606</v>
      </c>
      <c r="AM9" s="24">
        <f t="shared" si="18"/>
        <v>0.7713675213675214</v>
      </c>
      <c r="AN9" s="24">
        <f t="shared" si="18"/>
        <v>0.77136752136752129</v>
      </c>
      <c r="AO9" s="41">
        <f t="shared" si="18"/>
        <v>0.96363636363636362</v>
      </c>
      <c r="AP9" s="41">
        <f t="shared" si="18"/>
        <v>0.90909090909090906</v>
      </c>
      <c r="AQ9" s="41">
        <f t="shared" si="18"/>
        <v>0.9642857142857143</v>
      </c>
      <c r="AR9" s="41">
        <f t="shared" si="18"/>
        <v>0.5</v>
      </c>
      <c r="AS9" s="41">
        <f t="shared" si="18"/>
        <v>0.81092436974789917</v>
      </c>
      <c r="AT9" s="41">
        <f t="shared" si="18"/>
        <v>0.81092436974789917</v>
      </c>
      <c r="AU9" s="24">
        <f t="shared" si="18"/>
        <v>0.81159420289855078</v>
      </c>
      <c r="AV9" s="24">
        <f t="shared" si="18"/>
        <v>0.83544303797468356</v>
      </c>
      <c r="AW9" s="24">
        <f t="shared" si="18"/>
        <v>0.96590909090909094</v>
      </c>
      <c r="AX9" s="24">
        <f t="shared" si="18"/>
        <v>0.8928571428571429</v>
      </c>
      <c r="AY9" s="24">
        <f t="shared" si="18"/>
        <v>0.88013698630136983</v>
      </c>
      <c r="AZ9" s="24">
        <f t="shared" si="18"/>
        <v>0.88013698630136983</v>
      </c>
    </row>
    <row r="10" spans="1:52" ht="24" customHeight="1">
      <c r="A10" s="23" t="s">
        <v>68</v>
      </c>
      <c r="B10" s="36"/>
      <c r="C10" s="41"/>
      <c r="D10" s="41"/>
      <c r="E10" s="41"/>
      <c r="F10" s="41"/>
      <c r="G10" s="41"/>
      <c r="H10" s="42"/>
      <c r="I10" s="42"/>
      <c r="J10" s="24"/>
      <c r="K10" s="24"/>
      <c r="L10" s="35">
        <f>SUM(J10:K10)</f>
        <v>0</v>
      </c>
      <c r="M10" s="35">
        <f>L10/2</f>
        <v>0</v>
      </c>
      <c r="N10" s="41"/>
      <c r="O10" s="41"/>
      <c r="P10" s="41"/>
      <c r="Q10" s="41"/>
      <c r="R10" s="41"/>
      <c r="S10" s="50">
        <f>SUM(N10:R10)</f>
        <v>0</v>
      </c>
      <c r="T10" s="50">
        <f>S10/2</f>
        <v>0</v>
      </c>
      <c r="U10" s="24"/>
      <c r="V10" s="24"/>
      <c r="W10" s="24"/>
      <c r="X10" s="24"/>
      <c r="Y10" s="35">
        <f>SUM(U10:X10)</f>
        <v>0</v>
      </c>
      <c r="Z10" s="35">
        <f>Y10/4</f>
        <v>0</v>
      </c>
      <c r="AA10" s="41"/>
      <c r="AB10" s="41"/>
      <c r="AC10" s="41"/>
      <c r="AD10" s="41"/>
      <c r="AE10" s="50">
        <f>SUM(AA10:AD10)</f>
        <v>0</v>
      </c>
      <c r="AF10" s="50">
        <f>AE10/4</f>
        <v>0</v>
      </c>
      <c r="AG10" s="25"/>
      <c r="AH10" s="24"/>
      <c r="AI10" s="24"/>
      <c r="AJ10" s="24"/>
      <c r="AK10" s="24"/>
      <c r="AL10" s="24"/>
      <c r="AM10" s="35">
        <f>SUM(AG10:AL10)</f>
        <v>0</v>
      </c>
      <c r="AN10" s="35">
        <f>AM10/6</f>
        <v>0</v>
      </c>
      <c r="AO10" s="41"/>
      <c r="AP10" s="41"/>
      <c r="AQ10" s="41"/>
      <c r="AR10" s="41"/>
      <c r="AS10" s="50">
        <f>SUM(AO10:AR10)</f>
        <v>0</v>
      </c>
      <c r="AT10" s="50">
        <f>AS10/4</f>
        <v>0</v>
      </c>
      <c r="AU10" s="24"/>
      <c r="AV10" s="24"/>
      <c r="AW10" s="24"/>
      <c r="AX10" s="24"/>
      <c r="AY10" s="35">
        <f>SUM(AU10:AX10)</f>
        <v>0</v>
      </c>
      <c r="AZ10" s="35">
        <f>AY10/4</f>
        <v>0</v>
      </c>
    </row>
    <row r="11" spans="1:52" ht="115.5" customHeight="1">
      <c r="A11" s="2" t="s">
        <v>69</v>
      </c>
      <c r="B11" s="26" t="s">
        <v>70</v>
      </c>
      <c r="C11" s="40">
        <v>140</v>
      </c>
      <c r="D11" s="40">
        <v>140</v>
      </c>
      <c r="E11" s="40">
        <v>140</v>
      </c>
      <c r="F11" s="40">
        <v>140</v>
      </c>
      <c r="G11" s="40">
        <v>140</v>
      </c>
      <c r="H11" s="39">
        <f t="shared" ref="H11:H30" si="19">SUM(C11:G11)</f>
        <v>700</v>
      </c>
      <c r="I11" s="39">
        <f t="shared" ref="I11:I30" si="20">H11/5</f>
        <v>140</v>
      </c>
      <c r="J11" s="4">
        <v>129</v>
      </c>
      <c r="K11" s="4">
        <v>129</v>
      </c>
      <c r="L11" s="32">
        <f t="shared" si="0"/>
        <v>258</v>
      </c>
      <c r="M11" s="32">
        <f t="shared" si="4"/>
        <v>129</v>
      </c>
      <c r="N11" s="40">
        <v>566</v>
      </c>
      <c r="O11" s="40">
        <v>566</v>
      </c>
      <c r="P11" s="40">
        <v>566</v>
      </c>
      <c r="Q11" s="40">
        <v>566</v>
      </c>
      <c r="R11" s="40">
        <v>566</v>
      </c>
      <c r="S11" s="39">
        <f t="shared" si="5"/>
        <v>2830</v>
      </c>
      <c r="T11" s="39">
        <f t="shared" si="6"/>
        <v>1415</v>
      </c>
      <c r="U11" s="4">
        <v>761</v>
      </c>
      <c r="V11" s="4">
        <v>761</v>
      </c>
      <c r="W11" s="4">
        <v>761</v>
      </c>
      <c r="X11" s="4">
        <v>761</v>
      </c>
      <c r="Y11" s="32">
        <f t="shared" si="7"/>
        <v>3044</v>
      </c>
      <c r="Z11" s="32">
        <f t="shared" si="8"/>
        <v>761</v>
      </c>
      <c r="AA11" s="40">
        <v>436</v>
      </c>
      <c r="AB11" s="40">
        <v>436</v>
      </c>
      <c r="AC11" s="40">
        <v>436</v>
      </c>
      <c r="AD11" s="40">
        <v>436</v>
      </c>
      <c r="AE11" s="39">
        <f t="shared" si="9"/>
        <v>1744</v>
      </c>
      <c r="AF11" s="39">
        <f t="shared" si="10"/>
        <v>436</v>
      </c>
      <c r="AG11" s="22">
        <v>1053</v>
      </c>
      <c r="AH11" s="22">
        <v>1053</v>
      </c>
      <c r="AI11" s="22">
        <v>1053</v>
      </c>
      <c r="AJ11" s="22">
        <v>1053</v>
      </c>
      <c r="AK11" s="22">
        <v>1053</v>
      </c>
      <c r="AL11" s="22">
        <v>1053</v>
      </c>
      <c r="AM11" s="32">
        <f t="shared" si="11"/>
        <v>6318</v>
      </c>
      <c r="AN11" s="32">
        <f t="shared" si="12"/>
        <v>1053</v>
      </c>
      <c r="AO11" s="40">
        <v>482</v>
      </c>
      <c r="AP11" s="40">
        <v>482</v>
      </c>
      <c r="AQ11" s="40">
        <v>482</v>
      </c>
      <c r="AR11" s="40">
        <v>482</v>
      </c>
      <c r="AS11" s="39">
        <f t="shared" si="13"/>
        <v>1928</v>
      </c>
      <c r="AT11" s="39">
        <f t="shared" si="14"/>
        <v>482</v>
      </c>
      <c r="AU11" s="4">
        <v>543</v>
      </c>
      <c r="AV11" s="4">
        <v>543</v>
      </c>
      <c r="AW11" s="4">
        <v>543</v>
      </c>
      <c r="AX11" s="4">
        <v>543</v>
      </c>
      <c r="AY11" s="32">
        <f t="shared" si="15"/>
        <v>2172</v>
      </c>
      <c r="AZ11" s="32">
        <f t="shared" si="16"/>
        <v>543</v>
      </c>
    </row>
    <row r="12" spans="1:52" ht="75">
      <c r="A12" s="2" t="s">
        <v>71</v>
      </c>
      <c r="B12" s="26" t="s">
        <v>72</v>
      </c>
      <c r="C12" s="40">
        <v>155</v>
      </c>
      <c r="D12" s="40">
        <v>155</v>
      </c>
      <c r="E12" s="40">
        <v>155</v>
      </c>
      <c r="F12" s="40">
        <v>155</v>
      </c>
      <c r="G12" s="40">
        <v>155</v>
      </c>
      <c r="H12" s="39">
        <f t="shared" si="19"/>
        <v>775</v>
      </c>
      <c r="I12" s="39">
        <f t="shared" si="20"/>
        <v>155</v>
      </c>
      <c r="J12" s="4">
        <v>143</v>
      </c>
      <c r="K12" s="4">
        <v>143</v>
      </c>
      <c r="L12" s="32">
        <f t="shared" si="0"/>
        <v>286</v>
      </c>
      <c r="M12" s="32">
        <f t="shared" si="4"/>
        <v>143</v>
      </c>
      <c r="N12" s="40">
        <v>627</v>
      </c>
      <c r="O12" s="40">
        <v>627</v>
      </c>
      <c r="P12" s="40">
        <v>627</v>
      </c>
      <c r="Q12" s="40">
        <v>627</v>
      </c>
      <c r="R12" s="40">
        <v>627</v>
      </c>
      <c r="S12" s="39">
        <f t="shared" si="5"/>
        <v>3135</v>
      </c>
      <c r="T12" s="39">
        <f t="shared" si="6"/>
        <v>1567.5</v>
      </c>
      <c r="U12" s="4">
        <v>748</v>
      </c>
      <c r="V12" s="4">
        <v>748</v>
      </c>
      <c r="W12" s="4">
        <v>748</v>
      </c>
      <c r="X12" s="4">
        <v>748</v>
      </c>
      <c r="Y12" s="32">
        <f t="shared" si="7"/>
        <v>2992</v>
      </c>
      <c r="Z12" s="32">
        <f t="shared" si="8"/>
        <v>748</v>
      </c>
      <c r="AA12" s="40">
        <v>513</v>
      </c>
      <c r="AB12" s="40">
        <v>513</v>
      </c>
      <c r="AC12" s="40">
        <v>513</v>
      </c>
      <c r="AD12" s="40">
        <v>513</v>
      </c>
      <c r="AE12" s="39">
        <f t="shared" si="9"/>
        <v>2052</v>
      </c>
      <c r="AF12" s="39">
        <f t="shared" si="10"/>
        <v>513</v>
      </c>
      <c r="AG12" s="22">
        <v>1085</v>
      </c>
      <c r="AH12" s="22">
        <v>1085</v>
      </c>
      <c r="AI12" s="22">
        <v>1085</v>
      </c>
      <c r="AJ12" s="22">
        <v>1085</v>
      </c>
      <c r="AK12" s="22">
        <v>1085</v>
      </c>
      <c r="AL12" s="22">
        <v>1085</v>
      </c>
      <c r="AM12" s="32">
        <f t="shared" si="11"/>
        <v>6510</v>
      </c>
      <c r="AN12" s="32">
        <f t="shared" si="12"/>
        <v>1085</v>
      </c>
      <c r="AO12" s="40">
        <v>562</v>
      </c>
      <c r="AP12" s="40">
        <v>562</v>
      </c>
      <c r="AQ12" s="40">
        <v>562</v>
      </c>
      <c r="AR12" s="40">
        <v>562</v>
      </c>
      <c r="AS12" s="39">
        <f t="shared" si="13"/>
        <v>2248</v>
      </c>
      <c r="AT12" s="39">
        <f t="shared" si="14"/>
        <v>562</v>
      </c>
      <c r="AU12" s="4">
        <v>583</v>
      </c>
      <c r="AV12" s="4">
        <v>583</v>
      </c>
      <c r="AW12" s="4">
        <v>583</v>
      </c>
      <c r="AX12" s="4">
        <v>583</v>
      </c>
      <c r="AY12" s="32">
        <f t="shared" si="15"/>
        <v>2332</v>
      </c>
      <c r="AZ12" s="32">
        <f t="shared" si="16"/>
        <v>583</v>
      </c>
    </row>
    <row r="13" spans="1:52" ht="72" customHeight="1">
      <c r="A13" s="2" t="s">
        <v>73</v>
      </c>
      <c r="B13" s="26" t="s">
        <v>74</v>
      </c>
      <c r="C13" s="40">
        <v>153</v>
      </c>
      <c r="D13" s="40">
        <v>153</v>
      </c>
      <c r="E13" s="40">
        <v>153</v>
      </c>
      <c r="F13" s="40">
        <v>153</v>
      </c>
      <c r="G13" s="40">
        <v>153</v>
      </c>
      <c r="H13" s="39">
        <f t="shared" si="19"/>
        <v>765</v>
      </c>
      <c r="I13" s="39">
        <f t="shared" si="20"/>
        <v>153</v>
      </c>
      <c r="J13" s="4">
        <v>143</v>
      </c>
      <c r="K13" s="4">
        <v>143</v>
      </c>
      <c r="L13" s="32">
        <f t="shared" si="0"/>
        <v>286</v>
      </c>
      <c r="M13" s="32">
        <f t="shared" si="4"/>
        <v>143</v>
      </c>
      <c r="N13" s="40">
        <v>603</v>
      </c>
      <c r="O13" s="40">
        <v>603</v>
      </c>
      <c r="P13" s="40">
        <v>603</v>
      </c>
      <c r="Q13" s="40">
        <v>603</v>
      </c>
      <c r="R13" s="40">
        <v>603</v>
      </c>
      <c r="S13" s="39">
        <f t="shared" si="5"/>
        <v>3015</v>
      </c>
      <c r="T13" s="39">
        <f t="shared" si="6"/>
        <v>1507.5</v>
      </c>
      <c r="U13" s="4">
        <v>714</v>
      </c>
      <c r="V13" s="4">
        <v>714</v>
      </c>
      <c r="W13" s="4">
        <v>714</v>
      </c>
      <c r="X13" s="4">
        <v>714</v>
      </c>
      <c r="Y13" s="32">
        <f t="shared" si="7"/>
        <v>2856</v>
      </c>
      <c r="Z13" s="32">
        <f t="shared" si="8"/>
        <v>714</v>
      </c>
      <c r="AA13" s="40">
        <v>507</v>
      </c>
      <c r="AB13" s="40">
        <v>507</v>
      </c>
      <c r="AC13" s="40">
        <v>507</v>
      </c>
      <c r="AD13" s="40">
        <v>507</v>
      </c>
      <c r="AE13" s="39">
        <f t="shared" si="9"/>
        <v>2028</v>
      </c>
      <c r="AF13" s="39">
        <f t="shared" si="10"/>
        <v>507</v>
      </c>
      <c r="AG13" s="22">
        <v>1126</v>
      </c>
      <c r="AH13" s="22">
        <v>1126</v>
      </c>
      <c r="AI13" s="22">
        <v>1126</v>
      </c>
      <c r="AJ13" s="22">
        <v>1126</v>
      </c>
      <c r="AK13" s="22">
        <v>1126</v>
      </c>
      <c r="AL13" s="22">
        <v>1126</v>
      </c>
      <c r="AM13" s="32">
        <f t="shared" si="11"/>
        <v>6756</v>
      </c>
      <c r="AN13" s="32">
        <f t="shared" si="12"/>
        <v>1126</v>
      </c>
      <c r="AO13" s="40">
        <v>615</v>
      </c>
      <c r="AP13" s="40">
        <v>615</v>
      </c>
      <c r="AQ13" s="40">
        <v>615</v>
      </c>
      <c r="AR13" s="40">
        <v>615</v>
      </c>
      <c r="AS13" s="39">
        <f t="shared" si="13"/>
        <v>2460</v>
      </c>
      <c r="AT13" s="39">
        <f t="shared" si="14"/>
        <v>615</v>
      </c>
      <c r="AU13" s="4">
        <v>549</v>
      </c>
      <c r="AV13" s="4">
        <v>549</v>
      </c>
      <c r="AW13" s="4">
        <v>549</v>
      </c>
      <c r="AX13" s="4">
        <v>549</v>
      </c>
      <c r="AY13" s="32">
        <f t="shared" si="15"/>
        <v>2196</v>
      </c>
      <c r="AZ13" s="32">
        <f t="shared" si="16"/>
        <v>549</v>
      </c>
    </row>
    <row r="14" spans="1:52" ht="41.25" customHeight="1">
      <c r="A14" s="6" t="s">
        <v>75</v>
      </c>
      <c r="B14" s="1" t="s">
        <v>76</v>
      </c>
      <c r="C14" s="40"/>
      <c r="D14" s="40"/>
      <c r="E14" s="40"/>
      <c r="F14" s="40"/>
      <c r="G14" s="40"/>
      <c r="H14" s="39">
        <f t="shared" si="19"/>
        <v>0</v>
      </c>
      <c r="I14" s="39">
        <f t="shared" si="20"/>
        <v>0</v>
      </c>
      <c r="J14" s="4"/>
      <c r="K14" s="4"/>
      <c r="L14" s="32">
        <f t="shared" si="0"/>
        <v>0</v>
      </c>
      <c r="M14" s="32">
        <f t="shared" si="4"/>
        <v>0</v>
      </c>
      <c r="N14" s="40"/>
      <c r="O14" s="40"/>
      <c r="P14" s="40"/>
      <c r="Q14" s="40"/>
      <c r="R14" s="40"/>
      <c r="S14" s="39">
        <f t="shared" si="5"/>
        <v>0</v>
      </c>
      <c r="T14" s="39">
        <f t="shared" si="6"/>
        <v>0</v>
      </c>
      <c r="U14" s="4"/>
      <c r="V14" s="4"/>
      <c r="W14" s="4"/>
      <c r="X14" s="4"/>
      <c r="Y14" s="32">
        <f t="shared" si="7"/>
        <v>0</v>
      </c>
      <c r="Z14" s="32">
        <f t="shared" si="8"/>
        <v>0</v>
      </c>
      <c r="AA14" s="40"/>
      <c r="AB14" s="40"/>
      <c r="AC14" s="40"/>
      <c r="AD14" s="40"/>
      <c r="AE14" s="39">
        <f t="shared" si="9"/>
        <v>0</v>
      </c>
      <c r="AF14" s="39">
        <f t="shared" si="10"/>
        <v>0</v>
      </c>
      <c r="AG14" s="22"/>
      <c r="AH14" s="4"/>
      <c r="AI14" s="4"/>
      <c r="AJ14" s="4"/>
      <c r="AK14" s="4"/>
      <c r="AL14" s="4"/>
      <c r="AM14" s="32">
        <f t="shared" si="11"/>
        <v>0</v>
      </c>
      <c r="AN14" s="32">
        <f t="shared" si="12"/>
        <v>0</v>
      </c>
      <c r="AO14" s="40"/>
      <c r="AP14" s="40"/>
      <c r="AQ14" s="40"/>
      <c r="AR14" s="40"/>
      <c r="AS14" s="39">
        <f t="shared" si="13"/>
        <v>0</v>
      </c>
      <c r="AT14" s="39">
        <f t="shared" si="14"/>
        <v>0</v>
      </c>
      <c r="AU14" s="4"/>
      <c r="AV14" s="4"/>
      <c r="AW14" s="4"/>
      <c r="AX14" s="4"/>
      <c r="AY14" s="32">
        <f t="shared" si="15"/>
        <v>0</v>
      </c>
      <c r="AZ14" s="32">
        <f t="shared" si="16"/>
        <v>0</v>
      </c>
    </row>
    <row r="15" spans="1:52" ht="63" customHeight="1">
      <c r="A15" s="2" t="s">
        <v>77</v>
      </c>
      <c r="B15" s="14" t="s">
        <v>78</v>
      </c>
      <c r="C15" s="40">
        <v>0.5</v>
      </c>
      <c r="D15" s="40">
        <v>0</v>
      </c>
      <c r="E15" s="40">
        <v>0</v>
      </c>
      <c r="F15" s="40">
        <v>0</v>
      </c>
      <c r="G15" s="40">
        <v>0</v>
      </c>
      <c r="H15" s="43">
        <f t="shared" si="19"/>
        <v>0.5</v>
      </c>
      <c r="I15" s="43">
        <f t="shared" si="20"/>
        <v>0.1</v>
      </c>
      <c r="J15" s="4">
        <v>0</v>
      </c>
      <c r="K15" s="4">
        <v>0</v>
      </c>
      <c r="L15" s="31">
        <f t="shared" si="0"/>
        <v>0</v>
      </c>
      <c r="M15" s="31">
        <f t="shared" si="4"/>
        <v>0</v>
      </c>
      <c r="N15" s="40">
        <v>5</v>
      </c>
      <c r="O15" s="40">
        <v>1</v>
      </c>
      <c r="P15" s="40">
        <v>3</v>
      </c>
      <c r="Q15" s="40">
        <v>3</v>
      </c>
      <c r="R15" s="40">
        <v>3</v>
      </c>
      <c r="S15" s="51">
        <f t="shared" si="5"/>
        <v>15</v>
      </c>
      <c r="T15" s="51">
        <f t="shared" si="6"/>
        <v>7.5</v>
      </c>
      <c r="U15" s="4">
        <v>4.5</v>
      </c>
      <c r="V15" s="4">
        <v>2</v>
      </c>
      <c r="W15" s="4">
        <v>0</v>
      </c>
      <c r="X15" s="10">
        <v>4</v>
      </c>
      <c r="Y15" s="33">
        <f t="shared" si="7"/>
        <v>10.5</v>
      </c>
      <c r="Z15" s="33">
        <f t="shared" si="8"/>
        <v>2.625</v>
      </c>
      <c r="AA15" s="40">
        <v>3</v>
      </c>
      <c r="AB15" s="40">
        <v>4</v>
      </c>
      <c r="AC15" s="40">
        <v>0</v>
      </c>
      <c r="AD15" s="40">
        <v>0</v>
      </c>
      <c r="AE15" s="53">
        <f t="shared" si="9"/>
        <v>7</v>
      </c>
      <c r="AF15" s="53">
        <f t="shared" si="10"/>
        <v>1.75</v>
      </c>
      <c r="AG15" s="22">
        <v>1</v>
      </c>
      <c r="AH15" s="4">
        <v>3</v>
      </c>
      <c r="AI15" s="4">
        <v>0</v>
      </c>
      <c r="AJ15" s="4">
        <v>3.6</v>
      </c>
      <c r="AK15" s="4">
        <v>0</v>
      </c>
      <c r="AL15" s="10">
        <v>0</v>
      </c>
      <c r="AM15" s="33">
        <f t="shared" si="11"/>
        <v>7.6</v>
      </c>
      <c r="AN15" s="33">
        <f t="shared" si="12"/>
        <v>1.2666666666666666</v>
      </c>
      <c r="AO15" s="40">
        <v>4</v>
      </c>
      <c r="AP15" s="40">
        <v>5</v>
      </c>
      <c r="AQ15" s="40">
        <v>2</v>
      </c>
      <c r="AR15" s="40">
        <v>1.8</v>
      </c>
      <c r="AS15" s="51">
        <f t="shared" si="13"/>
        <v>12.8</v>
      </c>
      <c r="AT15" s="51">
        <f t="shared" si="14"/>
        <v>3.2</v>
      </c>
      <c r="AU15" s="4">
        <v>5</v>
      </c>
      <c r="AV15" s="4">
        <v>3.6</v>
      </c>
      <c r="AW15" s="4">
        <v>4</v>
      </c>
      <c r="AX15" s="4">
        <v>6</v>
      </c>
      <c r="AY15" s="31">
        <f t="shared" si="15"/>
        <v>18.600000000000001</v>
      </c>
      <c r="AZ15" s="31">
        <f t="shared" si="16"/>
        <v>4.6500000000000004</v>
      </c>
    </row>
    <row r="16" spans="1:52" ht="45" customHeight="1">
      <c r="A16" s="2" t="s">
        <v>79</v>
      </c>
      <c r="B16" s="14" t="s">
        <v>78</v>
      </c>
      <c r="C16" s="40">
        <f>1.8-C15</f>
        <v>1.3</v>
      </c>
      <c r="D16" s="40">
        <v>3.7</v>
      </c>
      <c r="E16" s="40">
        <v>2.1</v>
      </c>
      <c r="F16" s="40">
        <v>1.5</v>
      </c>
      <c r="G16" s="40">
        <v>3.8</v>
      </c>
      <c r="H16" s="43">
        <f t="shared" si="19"/>
        <v>12.399999999999999</v>
      </c>
      <c r="I16" s="43">
        <f t="shared" si="20"/>
        <v>2.4799999999999995</v>
      </c>
      <c r="J16" s="4">
        <v>1.5</v>
      </c>
      <c r="K16" s="4">
        <v>4.0999999999999996</v>
      </c>
      <c r="L16" s="31">
        <f t="shared" si="0"/>
        <v>5.6</v>
      </c>
      <c r="M16" s="31">
        <f t="shared" si="4"/>
        <v>2.8</v>
      </c>
      <c r="N16" s="40">
        <f>8-N15</f>
        <v>3</v>
      </c>
      <c r="O16" s="40">
        <f>5-O15</f>
        <v>4</v>
      </c>
      <c r="P16" s="40">
        <f>6-P15</f>
        <v>3</v>
      </c>
      <c r="Q16" s="40">
        <f>5-Q15</f>
        <v>2</v>
      </c>
      <c r="R16" s="40">
        <f>8-R15</f>
        <v>5</v>
      </c>
      <c r="S16" s="51">
        <f t="shared" si="5"/>
        <v>17</v>
      </c>
      <c r="T16" s="51">
        <f t="shared" si="6"/>
        <v>8.5</v>
      </c>
      <c r="U16" s="4">
        <f>6.5-U15</f>
        <v>2</v>
      </c>
      <c r="V16" s="4">
        <f>5.6-V15</f>
        <v>3.5999999999999996</v>
      </c>
      <c r="W16" s="4">
        <v>5.5</v>
      </c>
      <c r="X16" s="10">
        <f>7-X15</f>
        <v>3</v>
      </c>
      <c r="Y16" s="33">
        <f t="shared" si="7"/>
        <v>14.1</v>
      </c>
      <c r="Z16" s="33">
        <f t="shared" si="8"/>
        <v>3.5249999999999999</v>
      </c>
      <c r="AA16" s="40">
        <v>2.8</v>
      </c>
      <c r="AB16" s="40">
        <f>9-AB15</f>
        <v>5</v>
      </c>
      <c r="AC16" s="40">
        <v>10</v>
      </c>
      <c r="AD16" s="40">
        <v>4.5</v>
      </c>
      <c r="AE16" s="53">
        <f t="shared" si="9"/>
        <v>22.3</v>
      </c>
      <c r="AF16" s="53">
        <f t="shared" si="10"/>
        <v>5.5750000000000002</v>
      </c>
      <c r="AG16" s="22">
        <f>3.8-AG15</f>
        <v>2.8</v>
      </c>
      <c r="AH16" s="4">
        <f>12.5-AH15</f>
        <v>9.5</v>
      </c>
      <c r="AI16" s="4">
        <v>5.4</v>
      </c>
      <c r="AJ16" s="4">
        <f>13-AJ15</f>
        <v>9.4</v>
      </c>
      <c r="AK16" s="4">
        <v>3.4</v>
      </c>
      <c r="AL16" s="10">
        <v>14</v>
      </c>
      <c r="AM16" s="33">
        <f t="shared" si="11"/>
        <v>44.5</v>
      </c>
      <c r="AN16" s="33">
        <f t="shared" si="12"/>
        <v>7.416666666666667</v>
      </c>
      <c r="AO16" s="40">
        <f>6-AO15</f>
        <v>2</v>
      </c>
      <c r="AP16" s="40">
        <f>5-AP15</f>
        <v>0</v>
      </c>
      <c r="AQ16" s="40">
        <f>6-AQ15</f>
        <v>4</v>
      </c>
      <c r="AR16" s="40">
        <f>4-AR15</f>
        <v>2.2000000000000002</v>
      </c>
      <c r="AS16" s="51">
        <f t="shared" si="13"/>
        <v>8.1999999999999993</v>
      </c>
      <c r="AT16" s="51">
        <f t="shared" si="14"/>
        <v>2.0499999999999998</v>
      </c>
      <c r="AU16" s="4">
        <f>7-AU15</f>
        <v>2</v>
      </c>
      <c r="AV16" s="4">
        <f>9.2-AV15</f>
        <v>5.6</v>
      </c>
      <c r="AW16" s="4">
        <f>10.4-AW15</f>
        <v>6.4</v>
      </c>
      <c r="AX16" s="4">
        <f>7.7-AX15</f>
        <v>1.7000000000000002</v>
      </c>
      <c r="AY16" s="31">
        <f t="shared" si="15"/>
        <v>15.7</v>
      </c>
      <c r="AZ16" s="31">
        <f t="shared" si="16"/>
        <v>3.9249999999999998</v>
      </c>
    </row>
    <row r="17" spans="1:52" ht="54" customHeight="1">
      <c r="A17" s="2" t="s">
        <v>80</v>
      </c>
      <c r="B17" s="14" t="s">
        <v>78</v>
      </c>
      <c r="C17" s="40">
        <v>1.2</v>
      </c>
      <c r="D17" s="40">
        <v>2</v>
      </c>
      <c r="E17" s="40">
        <v>1.9</v>
      </c>
      <c r="F17" s="40">
        <v>2</v>
      </c>
      <c r="G17" s="40">
        <v>2</v>
      </c>
      <c r="H17" s="43">
        <f t="shared" si="19"/>
        <v>9.1</v>
      </c>
      <c r="I17" s="43">
        <f t="shared" si="20"/>
        <v>1.8199999999999998</v>
      </c>
      <c r="J17" s="4">
        <v>1</v>
      </c>
      <c r="K17" s="4">
        <v>3</v>
      </c>
      <c r="L17" s="31">
        <f t="shared" si="0"/>
        <v>4</v>
      </c>
      <c r="M17" s="31">
        <f t="shared" si="4"/>
        <v>2</v>
      </c>
      <c r="N17" s="40">
        <v>6</v>
      </c>
      <c r="O17" s="40">
        <v>4</v>
      </c>
      <c r="P17" s="40">
        <v>6</v>
      </c>
      <c r="Q17" s="40">
        <v>5</v>
      </c>
      <c r="R17" s="40">
        <v>6</v>
      </c>
      <c r="S17" s="51">
        <f t="shared" si="5"/>
        <v>27</v>
      </c>
      <c r="T17" s="51">
        <f t="shared" si="6"/>
        <v>13.5</v>
      </c>
      <c r="U17" s="4">
        <v>5</v>
      </c>
      <c r="V17" s="4">
        <v>5.2</v>
      </c>
      <c r="W17" s="4">
        <v>5.0999999999999996</v>
      </c>
      <c r="X17" s="10">
        <v>5</v>
      </c>
      <c r="Y17" s="33">
        <f t="shared" si="7"/>
        <v>20.299999999999997</v>
      </c>
      <c r="Z17" s="33">
        <f t="shared" si="8"/>
        <v>5.0749999999999993</v>
      </c>
      <c r="AA17" s="40">
        <v>5</v>
      </c>
      <c r="AB17" s="40">
        <v>7</v>
      </c>
      <c r="AC17" s="40">
        <v>6</v>
      </c>
      <c r="AD17" s="40">
        <v>4</v>
      </c>
      <c r="AE17" s="53">
        <f t="shared" si="9"/>
        <v>22</v>
      </c>
      <c r="AF17" s="53">
        <f t="shared" si="10"/>
        <v>5.5</v>
      </c>
      <c r="AG17" s="22">
        <v>3</v>
      </c>
      <c r="AH17" s="4">
        <v>10</v>
      </c>
      <c r="AI17" s="4">
        <v>4</v>
      </c>
      <c r="AJ17" s="4">
        <v>9</v>
      </c>
      <c r="AK17" s="4">
        <v>3</v>
      </c>
      <c r="AL17" s="10">
        <v>10</v>
      </c>
      <c r="AM17" s="33">
        <f t="shared" si="11"/>
        <v>39</v>
      </c>
      <c r="AN17" s="33">
        <f t="shared" si="12"/>
        <v>6.5</v>
      </c>
      <c r="AO17" s="40">
        <v>6</v>
      </c>
      <c r="AP17" s="40">
        <v>7</v>
      </c>
      <c r="AQ17" s="40">
        <v>6</v>
      </c>
      <c r="AR17" s="40">
        <v>5</v>
      </c>
      <c r="AS17" s="51">
        <f t="shared" si="13"/>
        <v>24</v>
      </c>
      <c r="AT17" s="51">
        <f t="shared" si="14"/>
        <v>6</v>
      </c>
      <c r="AU17" s="4">
        <v>7</v>
      </c>
      <c r="AV17" s="4">
        <v>7</v>
      </c>
      <c r="AW17" s="4">
        <v>8.6</v>
      </c>
      <c r="AX17" s="4">
        <v>4</v>
      </c>
      <c r="AY17" s="31">
        <f t="shared" si="15"/>
        <v>26.6</v>
      </c>
      <c r="AZ17" s="31">
        <f t="shared" si="16"/>
        <v>6.65</v>
      </c>
    </row>
    <row r="18" spans="1:52" ht="31.5" customHeight="1">
      <c r="A18" s="2" t="s">
        <v>81</v>
      </c>
      <c r="B18" s="14" t="s">
        <v>82</v>
      </c>
      <c r="C18" s="40">
        <f>C15+C16+C17</f>
        <v>3</v>
      </c>
      <c r="D18" s="40">
        <f>D15+D16+D17</f>
        <v>5.7</v>
      </c>
      <c r="E18" s="40">
        <f>E15+E16+E17</f>
        <v>4</v>
      </c>
      <c r="F18" s="40">
        <f>F15+F16+F17</f>
        <v>3.5</v>
      </c>
      <c r="G18" s="40">
        <f>G15+G16+G17</f>
        <v>5.8</v>
      </c>
      <c r="H18" s="43">
        <f t="shared" si="19"/>
        <v>22</v>
      </c>
      <c r="I18" s="43">
        <f t="shared" si="20"/>
        <v>4.4000000000000004</v>
      </c>
      <c r="J18" s="4">
        <f>J15+J16+J17</f>
        <v>2.5</v>
      </c>
      <c r="K18" s="4">
        <f>K15+K16+K17</f>
        <v>7.1</v>
      </c>
      <c r="L18" s="31">
        <f t="shared" si="0"/>
        <v>9.6</v>
      </c>
      <c r="M18" s="31">
        <f t="shared" si="4"/>
        <v>4.8</v>
      </c>
      <c r="N18" s="40">
        <f>N15+N16+N17</f>
        <v>14</v>
      </c>
      <c r="O18" s="40">
        <f>O15+O16+O17</f>
        <v>9</v>
      </c>
      <c r="P18" s="40">
        <f>P15+P16+P17</f>
        <v>12</v>
      </c>
      <c r="Q18" s="40">
        <f>Q15+Q16+Q17</f>
        <v>10</v>
      </c>
      <c r="R18" s="40">
        <f>R15+R16+R17</f>
        <v>14</v>
      </c>
      <c r="S18" s="51">
        <f t="shared" si="5"/>
        <v>59</v>
      </c>
      <c r="T18" s="51">
        <f>S18/5</f>
        <v>11.8</v>
      </c>
      <c r="U18" s="4">
        <f>U15+U16+U17</f>
        <v>11.5</v>
      </c>
      <c r="V18" s="4">
        <f>V15+V16+V17</f>
        <v>10.8</v>
      </c>
      <c r="W18" s="4">
        <f>W15+W16+W17</f>
        <v>10.6</v>
      </c>
      <c r="X18" s="10">
        <f>X15+X16+X17</f>
        <v>12</v>
      </c>
      <c r="Y18" s="33">
        <f t="shared" si="7"/>
        <v>44.9</v>
      </c>
      <c r="Z18" s="33">
        <f t="shared" si="8"/>
        <v>11.225</v>
      </c>
      <c r="AA18" s="40">
        <f>AA15+AA16+AA17</f>
        <v>10.8</v>
      </c>
      <c r="AB18" s="40">
        <f>AB15+AB16+AB17</f>
        <v>16</v>
      </c>
      <c r="AC18" s="40">
        <f>AC15+AC16+AC17</f>
        <v>16</v>
      </c>
      <c r="AD18" s="40">
        <f>AD15+AD16+AD17</f>
        <v>8.5</v>
      </c>
      <c r="AE18" s="53">
        <f t="shared" si="9"/>
        <v>51.3</v>
      </c>
      <c r="AF18" s="53">
        <f t="shared" si="10"/>
        <v>12.824999999999999</v>
      </c>
      <c r="AG18" s="22">
        <f t="shared" ref="AG18:AL18" si="21">AG15+AG16+AG17</f>
        <v>6.8</v>
      </c>
      <c r="AH18" s="22">
        <f t="shared" si="21"/>
        <v>22.5</v>
      </c>
      <c r="AI18" s="22">
        <f t="shared" si="21"/>
        <v>9.4</v>
      </c>
      <c r="AJ18" s="22">
        <f t="shared" si="21"/>
        <v>22</v>
      </c>
      <c r="AK18" s="22">
        <f t="shared" si="21"/>
        <v>6.4</v>
      </c>
      <c r="AL18" s="27">
        <f t="shared" si="21"/>
        <v>24</v>
      </c>
      <c r="AM18" s="33">
        <f t="shared" si="11"/>
        <v>91.100000000000009</v>
      </c>
      <c r="AN18" s="33">
        <f t="shared" si="12"/>
        <v>15.183333333333335</v>
      </c>
      <c r="AO18" s="54">
        <f>AO15+AO16+AO17</f>
        <v>12</v>
      </c>
      <c r="AP18" s="54">
        <f>AP15+AP16+AP17</f>
        <v>12</v>
      </c>
      <c r="AQ18" s="54">
        <f>AQ15+AQ16+AQ17</f>
        <v>12</v>
      </c>
      <c r="AR18" s="54">
        <f>AR15+AR16+AR17</f>
        <v>9</v>
      </c>
      <c r="AS18" s="51">
        <f t="shared" si="13"/>
        <v>45</v>
      </c>
      <c r="AT18" s="51">
        <f t="shared" si="14"/>
        <v>11.25</v>
      </c>
      <c r="AU18" s="22">
        <f>AU15+AU16+AU17</f>
        <v>14</v>
      </c>
      <c r="AV18" s="22">
        <f>AV15+AV16+AV17</f>
        <v>16.2</v>
      </c>
      <c r="AW18" s="22">
        <f>AW15+AW16+AW17</f>
        <v>19</v>
      </c>
      <c r="AX18" s="22">
        <f>AX15+AX16+AX17</f>
        <v>11.7</v>
      </c>
      <c r="AY18" s="31">
        <f t="shared" si="15"/>
        <v>60.900000000000006</v>
      </c>
      <c r="AZ18" s="31">
        <f t="shared" si="16"/>
        <v>15.225000000000001</v>
      </c>
    </row>
    <row r="19" spans="1:52" ht="47.25" customHeight="1">
      <c r="A19" s="2" t="s">
        <v>83</v>
      </c>
      <c r="B19" s="14" t="s">
        <v>84</v>
      </c>
      <c r="C19" s="44">
        <f>C5/C18</f>
        <v>4.666666666666667</v>
      </c>
      <c r="D19" s="44">
        <f>D5/D18</f>
        <v>3.6842105263157894</v>
      </c>
      <c r="E19" s="44">
        <f>E5/E18</f>
        <v>4.75</v>
      </c>
      <c r="F19" s="44">
        <f>F5/F18</f>
        <v>5.1428571428571432</v>
      </c>
      <c r="G19" s="44">
        <f>G5/G18</f>
        <v>4.8275862068965516</v>
      </c>
      <c r="H19" s="43">
        <f t="shared" si="19"/>
        <v>23.071320542736149</v>
      </c>
      <c r="I19" s="43">
        <f t="shared" si="20"/>
        <v>4.6142641085472302</v>
      </c>
      <c r="J19" s="10">
        <f>J5/J18</f>
        <v>3.6</v>
      </c>
      <c r="K19" s="10">
        <f>K5/K18</f>
        <v>5.915492957746479</v>
      </c>
      <c r="L19" s="31">
        <f t="shared" si="0"/>
        <v>9.5154929577464795</v>
      </c>
      <c r="M19" s="31">
        <f t="shared" si="4"/>
        <v>4.7577464788732398</v>
      </c>
      <c r="N19" s="44">
        <f>N5/N18</f>
        <v>5.5714285714285712</v>
      </c>
      <c r="O19" s="44">
        <f>O5/O18</f>
        <v>5.7777777777777777</v>
      </c>
      <c r="P19" s="44">
        <f>P5/P18</f>
        <v>5.333333333333333</v>
      </c>
      <c r="Q19" s="44">
        <f>Q5/Q18</f>
        <v>5.5</v>
      </c>
      <c r="R19" s="44">
        <f>R5/R18</f>
        <v>5.8571428571428568</v>
      </c>
      <c r="S19" s="51">
        <f t="shared" si="5"/>
        <v>28.039682539682538</v>
      </c>
      <c r="T19" s="51">
        <f t="shared" ref="T19:T35" si="22">S19/5</f>
        <v>5.6079365079365076</v>
      </c>
      <c r="U19" s="10">
        <f>U5/U18</f>
        <v>6.0869565217391308</v>
      </c>
      <c r="V19" s="10">
        <f>V5/V18</f>
        <v>5.9259259259259256</v>
      </c>
      <c r="W19" s="10">
        <f>W5/W18</f>
        <v>5.4716981132075473</v>
      </c>
      <c r="X19" s="10">
        <f>X5/X18</f>
        <v>5.583333333333333</v>
      </c>
      <c r="Y19" s="33">
        <f t="shared" si="7"/>
        <v>23.067913894205937</v>
      </c>
      <c r="Z19" s="33">
        <f t="shared" si="8"/>
        <v>5.7669784735514842</v>
      </c>
      <c r="AA19" s="44">
        <f>AA5/AA18</f>
        <v>6.0185185185185182</v>
      </c>
      <c r="AB19" s="44">
        <f>AB5/AB18</f>
        <v>5.875</v>
      </c>
      <c r="AC19" s="44">
        <f>AC5/AC18</f>
        <v>4.75</v>
      </c>
      <c r="AD19" s="44">
        <f>AD5/AD18</f>
        <v>5.0588235294117645</v>
      </c>
      <c r="AE19" s="53">
        <f t="shared" si="9"/>
        <v>21.702342047930284</v>
      </c>
      <c r="AF19" s="53">
        <f t="shared" si="10"/>
        <v>5.4255855119825709</v>
      </c>
      <c r="AG19" s="27">
        <f t="shared" ref="AG19:AL19" si="23">AG5/AG18</f>
        <v>5.2941176470588234</v>
      </c>
      <c r="AH19" s="27">
        <f t="shared" si="23"/>
        <v>5.9111111111111114</v>
      </c>
      <c r="AI19" s="27">
        <f t="shared" si="23"/>
        <v>5.8510638297872335</v>
      </c>
      <c r="AJ19" s="27">
        <f t="shared" si="23"/>
        <v>5.9545454545454541</v>
      </c>
      <c r="AK19" s="27">
        <f t="shared" si="23"/>
        <v>5.9375</v>
      </c>
      <c r="AL19" s="27">
        <f t="shared" si="23"/>
        <v>5.25</v>
      </c>
      <c r="AM19" s="33">
        <f t="shared" si="11"/>
        <v>34.19833804250262</v>
      </c>
      <c r="AN19" s="33">
        <f t="shared" si="12"/>
        <v>5.6997230070837697</v>
      </c>
      <c r="AO19" s="55">
        <f>AO5/AO18</f>
        <v>5.833333333333333</v>
      </c>
      <c r="AP19" s="55">
        <f>AP5/AP18</f>
        <v>5.916666666666667</v>
      </c>
      <c r="AQ19" s="55">
        <f>AQ5/AQ18</f>
        <v>6</v>
      </c>
      <c r="AR19" s="55">
        <f>AR5/AR18</f>
        <v>6</v>
      </c>
      <c r="AS19" s="51">
        <f t="shared" si="13"/>
        <v>23.75</v>
      </c>
      <c r="AT19" s="51">
        <f t="shared" si="14"/>
        <v>5.9375</v>
      </c>
      <c r="AU19" s="27">
        <f>AU5/AU18</f>
        <v>6</v>
      </c>
      <c r="AV19" s="27">
        <f>AV5/AV18</f>
        <v>5.9876543209876543</v>
      </c>
      <c r="AW19" s="27">
        <f>AW5/AW18</f>
        <v>5.9473684210526319</v>
      </c>
      <c r="AX19" s="27">
        <f>AX5/AX18</f>
        <v>5.8974358974358978</v>
      </c>
      <c r="AY19" s="31">
        <f t="shared" si="15"/>
        <v>23.832458639476187</v>
      </c>
      <c r="AZ19" s="31">
        <f t="shared" si="16"/>
        <v>5.9581146598690466</v>
      </c>
    </row>
    <row r="20" spans="1:52" ht="30">
      <c r="A20" s="2" t="s">
        <v>85</v>
      </c>
      <c r="B20" s="14" t="s">
        <v>86</v>
      </c>
      <c r="C20" s="40">
        <v>0.34</v>
      </c>
      <c r="D20" s="40">
        <v>0.5</v>
      </c>
      <c r="E20" s="40">
        <v>0.35</v>
      </c>
      <c r="F20" s="40">
        <v>0.3</v>
      </c>
      <c r="G20" s="40">
        <v>0.5</v>
      </c>
      <c r="H20" s="43">
        <f t="shared" si="19"/>
        <v>1.99</v>
      </c>
      <c r="I20" s="43">
        <f t="shared" si="20"/>
        <v>0.39800000000000002</v>
      </c>
      <c r="J20" s="4">
        <v>0.35</v>
      </c>
      <c r="K20" s="4">
        <v>0.6</v>
      </c>
      <c r="L20" s="31">
        <f t="shared" si="0"/>
        <v>0.95</v>
      </c>
      <c r="M20" s="31">
        <f t="shared" si="4"/>
        <v>0.47499999999999998</v>
      </c>
      <c r="N20" s="40">
        <v>1</v>
      </c>
      <c r="O20" s="40">
        <v>1</v>
      </c>
      <c r="P20" s="40">
        <v>1</v>
      </c>
      <c r="Q20" s="40">
        <v>1</v>
      </c>
      <c r="R20" s="40">
        <v>1</v>
      </c>
      <c r="S20" s="51">
        <f t="shared" si="5"/>
        <v>5</v>
      </c>
      <c r="T20" s="51">
        <f t="shared" si="22"/>
        <v>1</v>
      </c>
      <c r="U20" s="4">
        <v>1</v>
      </c>
      <c r="V20" s="4">
        <v>0.8</v>
      </c>
      <c r="W20" s="4">
        <v>1</v>
      </c>
      <c r="X20" s="10">
        <v>1</v>
      </c>
      <c r="Y20" s="33">
        <f t="shared" si="7"/>
        <v>3.8</v>
      </c>
      <c r="Z20" s="33">
        <f t="shared" si="8"/>
        <v>0.95</v>
      </c>
      <c r="AA20" s="40">
        <v>1</v>
      </c>
      <c r="AB20" s="40">
        <v>1</v>
      </c>
      <c r="AC20" s="40">
        <v>1</v>
      </c>
      <c r="AD20" s="40">
        <v>1</v>
      </c>
      <c r="AE20" s="53">
        <f t="shared" si="9"/>
        <v>4</v>
      </c>
      <c r="AF20" s="53">
        <f t="shared" si="10"/>
        <v>1</v>
      </c>
      <c r="AG20" s="22">
        <v>0.6</v>
      </c>
      <c r="AH20" s="4">
        <v>1</v>
      </c>
      <c r="AI20" s="4">
        <v>1</v>
      </c>
      <c r="AJ20" s="4">
        <v>1</v>
      </c>
      <c r="AK20" s="4">
        <v>0.6</v>
      </c>
      <c r="AL20" s="34">
        <v>1</v>
      </c>
      <c r="AM20" s="33">
        <f t="shared" si="11"/>
        <v>5.2</v>
      </c>
      <c r="AN20" s="33">
        <f t="shared" si="12"/>
        <v>0.8666666666666667</v>
      </c>
      <c r="AO20" s="40">
        <v>1</v>
      </c>
      <c r="AP20" s="40">
        <v>1</v>
      </c>
      <c r="AQ20" s="40">
        <v>1</v>
      </c>
      <c r="AR20" s="40">
        <v>1</v>
      </c>
      <c r="AS20" s="51">
        <f t="shared" si="13"/>
        <v>4</v>
      </c>
      <c r="AT20" s="51">
        <f t="shared" si="14"/>
        <v>1</v>
      </c>
      <c r="AU20" s="4">
        <v>1</v>
      </c>
      <c r="AV20" s="4">
        <v>1</v>
      </c>
      <c r="AW20" s="4">
        <v>1</v>
      </c>
      <c r="AX20" s="4">
        <v>1</v>
      </c>
      <c r="AY20" s="31">
        <f t="shared" si="15"/>
        <v>4</v>
      </c>
      <c r="AZ20" s="31">
        <f t="shared" si="16"/>
        <v>1</v>
      </c>
    </row>
    <row r="21" spans="1:52" ht="91.5" customHeight="1">
      <c r="A21" s="2" t="s">
        <v>87</v>
      </c>
      <c r="B21" s="1" t="s">
        <v>88</v>
      </c>
      <c r="C21" s="40">
        <f>0.6/3</f>
        <v>0.19999999999999998</v>
      </c>
      <c r="D21" s="40">
        <v>0</v>
      </c>
      <c r="E21" s="40">
        <v>0</v>
      </c>
      <c r="F21" s="44">
        <f>(0.3+0.5)/3</f>
        <v>0.26666666666666666</v>
      </c>
      <c r="G21" s="44">
        <f>0.5/3</f>
        <v>0.16666666666666666</v>
      </c>
      <c r="H21" s="43">
        <f t="shared" si="19"/>
        <v>0.6333333333333333</v>
      </c>
      <c r="I21" s="43">
        <f t="shared" si="20"/>
        <v>0.12666666666666665</v>
      </c>
      <c r="J21" s="4">
        <f>(1+1+1)/3</f>
        <v>1</v>
      </c>
      <c r="K21" s="10">
        <f>(2.5+1.5)/3</f>
        <v>1.3333333333333333</v>
      </c>
      <c r="L21" s="31">
        <f t="shared" si="0"/>
        <v>2.333333333333333</v>
      </c>
      <c r="M21" s="31">
        <f t="shared" si="4"/>
        <v>1.1666666666666665</v>
      </c>
      <c r="N21" s="40">
        <v>0</v>
      </c>
      <c r="O21" s="44">
        <f>1/3</f>
        <v>0.33333333333333331</v>
      </c>
      <c r="P21" s="44">
        <f>1/3</f>
        <v>0.33333333333333331</v>
      </c>
      <c r="Q21" s="40">
        <f>0/3</f>
        <v>0</v>
      </c>
      <c r="R21" s="40">
        <v>0</v>
      </c>
      <c r="S21" s="39">
        <f t="shared" si="5"/>
        <v>0.66666666666666663</v>
      </c>
      <c r="T21" s="51">
        <f t="shared" si="22"/>
        <v>0.13333333333333333</v>
      </c>
      <c r="U21" s="10">
        <f>1/3</f>
        <v>0.33333333333333331</v>
      </c>
      <c r="V21" s="10">
        <f>0.4/3</f>
        <v>0.13333333333333333</v>
      </c>
      <c r="W21" s="4">
        <v>0</v>
      </c>
      <c r="X21" s="10">
        <v>0</v>
      </c>
      <c r="Y21" s="33">
        <f t="shared" si="7"/>
        <v>0.46666666666666667</v>
      </c>
      <c r="Z21" s="33">
        <f t="shared" si="8"/>
        <v>0.11666666666666667</v>
      </c>
      <c r="AA21" s="44">
        <f>1/3</f>
        <v>0.33333333333333331</v>
      </c>
      <c r="AB21" s="44">
        <f>1/3</f>
        <v>0.33333333333333331</v>
      </c>
      <c r="AC21" s="44">
        <f>1/3</f>
        <v>0.33333333333333331</v>
      </c>
      <c r="AD21" s="40">
        <v>0</v>
      </c>
      <c r="AE21" s="53">
        <f t="shared" si="9"/>
        <v>1</v>
      </c>
      <c r="AF21" s="53">
        <f t="shared" si="10"/>
        <v>0.25</v>
      </c>
      <c r="AG21" s="22">
        <f>(1+2)/3</f>
        <v>1</v>
      </c>
      <c r="AH21" s="4">
        <v>0</v>
      </c>
      <c r="AI21" s="4">
        <v>0</v>
      </c>
      <c r="AJ21" s="4">
        <v>0</v>
      </c>
      <c r="AK21" s="10">
        <f>(1+2+2.6)/3</f>
        <v>1.8666666666666665</v>
      </c>
      <c r="AL21" s="34">
        <v>0</v>
      </c>
      <c r="AM21" s="33">
        <f t="shared" si="11"/>
        <v>2.8666666666666663</v>
      </c>
      <c r="AN21" s="33">
        <f t="shared" si="12"/>
        <v>0.47777777777777769</v>
      </c>
      <c r="AO21" s="40">
        <v>0</v>
      </c>
      <c r="AP21" s="40">
        <v>0</v>
      </c>
      <c r="AQ21" s="40">
        <v>0</v>
      </c>
      <c r="AR21" s="40">
        <v>0</v>
      </c>
      <c r="AS21" s="39">
        <f t="shared" si="13"/>
        <v>0</v>
      </c>
      <c r="AT21" s="39">
        <f t="shared" si="14"/>
        <v>0</v>
      </c>
      <c r="AU21" s="4">
        <v>0</v>
      </c>
      <c r="AV21" s="4">
        <v>0</v>
      </c>
      <c r="AW21" s="4">
        <v>0</v>
      </c>
      <c r="AX21" s="4">
        <v>0</v>
      </c>
      <c r="AY21" s="32">
        <f t="shared" si="15"/>
        <v>0</v>
      </c>
      <c r="AZ21" s="32">
        <f t="shared" si="16"/>
        <v>0</v>
      </c>
    </row>
    <row r="22" spans="1:52" ht="89.25" customHeight="1">
      <c r="A22" s="2" t="s">
        <v>89</v>
      </c>
      <c r="B22" s="1" t="s">
        <v>90</v>
      </c>
      <c r="C22" s="40">
        <v>4.8</v>
      </c>
      <c r="D22" s="40">
        <f>(3.6+ 4.1+ 4.3)/3</f>
        <v>4</v>
      </c>
      <c r="E22" s="40" t="s">
        <v>91</v>
      </c>
      <c r="F22" s="40">
        <f>(4.6+4.6+4.9)/3</f>
        <v>4.7</v>
      </c>
      <c r="G22" s="44">
        <f>(4.1+4.5+4.5)/3</f>
        <v>4.3666666666666663</v>
      </c>
      <c r="H22" s="43">
        <f t="shared" si="19"/>
        <v>17.866666666666667</v>
      </c>
      <c r="I22" s="43">
        <f t="shared" si="20"/>
        <v>3.5733333333333333</v>
      </c>
      <c r="J22" s="4">
        <f>(4.4+4.6)/2</f>
        <v>4.5</v>
      </c>
      <c r="K22" s="4">
        <f>(4.3+4.5)/2</f>
        <v>4.4000000000000004</v>
      </c>
      <c r="L22" s="31">
        <f t="shared" si="0"/>
        <v>8.9</v>
      </c>
      <c r="M22" s="31">
        <f t="shared" si="4"/>
        <v>4.45</v>
      </c>
      <c r="N22" s="40">
        <f>(4.1+4.6+4.5)/3</f>
        <v>4.3999999999999995</v>
      </c>
      <c r="O22" s="40">
        <f>(4+4+4.3)/3</f>
        <v>4.1000000000000005</v>
      </c>
      <c r="P22" s="44">
        <f>(4.4+4.5+3.8)/3</f>
        <v>4.2333333333333334</v>
      </c>
      <c r="Q22" s="40">
        <f>(4.3+4.3+4.6)/3</f>
        <v>4.3999999999999995</v>
      </c>
      <c r="R22" s="40">
        <f>(4.1+4.1+4.4)/3</f>
        <v>4.2</v>
      </c>
      <c r="S22" s="39">
        <f t="shared" si="5"/>
        <v>21.333333333333332</v>
      </c>
      <c r="T22" s="51">
        <f t="shared" si="22"/>
        <v>4.2666666666666666</v>
      </c>
      <c r="U22" s="10">
        <f>(3.9+4+4.2)/3</f>
        <v>4.0333333333333341</v>
      </c>
      <c r="V22" s="10">
        <f>(4.6+4.5+4.6)/3</f>
        <v>4.5666666666666664</v>
      </c>
      <c r="W22" s="10">
        <f>(4.2+4.1+4.5)/3</f>
        <v>4.2666666666666666</v>
      </c>
      <c r="X22" s="10">
        <f>(4.3+3.8+3.9)/3</f>
        <v>4</v>
      </c>
      <c r="Y22" s="33">
        <f t="shared" si="7"/>
        <v>16.866666666666667</v>
      </c>
      <c r="Z22" s="33">
        <f t="shared" si="8"/>
        <v>4.2166666666666668</v>
      </c>
      <c r="AA22" s="44">
        <f>(4.5+4.4+4.4)/3</f>
        <v>4.4333333333333336</v>
      </c>
      <c r="AB22" s="40">
        <f>(4.6+4.2+4.4)/3</f>
        <v>4.4000000000000004</v>
      </c>
      <c r="AC22" s="44">
        <f>(4.2+4.1+4.4)/3</f>
        <v>4.2333333333333334</v>
      </c>
      <c r="AD22" s="44">
        <f>(4.4+4.5+4.8)/3</f>
        <v>4.5666666666666664</v>
      </c>
      <c r="AE22" s="53">
        <f t="shared" si="9"/>
        <v>17.633333333333333</v>
      </c>
      <c r="AF22" s="53">
        <f t="shared" si="10"/>
        <v>4.4083333333333332</v>
      </c>
      <c r="AG22" s="22">
        <f>(4.6+4.4+4.8)/3</f>
        <v>4.6000000000000005</v>
      </c>
      <c r="AH22" s="10">
        <f>(4.7+4.8+4.8)/3</f>
        <v>4.7666666666666666</v>
      </c>
      <c r="AI22" s="10">
        <f>(4.4+4+4.6)/3</f>
        <v>4.333333333333333</v>
      </c>
      <c r="AJ22" s="10">
        <f>(4.5+4.5+4.3)/3</f>
        <v>4.4333333333333336</v>
      </c>
      <c r="AK22" s="4">
        <f>(4.2+4.4+4.3)/3</f>
        <v>4.3000000000000007</v>
      </c>
      <c r="AL22" s="10">
        <f>(4.5+4.6+4.7)/3</f>
        <v>4.6000000000000005</v>
      </c>
      <c r="AM22" s="33">
        <f t="shared" si="11"/>
        <v>27.033333333333335</v>
      </c>
      <c r="AN22" s="33">
        <f t="shared" si="12"/>
        <v>4.5055555555555555</v>
      </c>
      <c r="AO22" s="44">
        <f>(4.6+4.6+4.7)/3</f>
        <v>4.6333333333333329</v>
      </c>
      <c r="AP22" s="44">
        <f>(4.5+4.4+4.1)/3</f>
        <v>4.333333333333333</v>
      </c>
      <c r="AQ22" s="40">
        <f>(4.5+4.3+4.1)/3</f>
        <v>4.3</v>
      </c>
      <c r="AR22" s="44">
        <f>(4.3+3.8+4.4)/3</f>
        <v>4.166666666666667</v>
      </c>
      <c r="AS22" s="39">
        <f t="shared" si="13"/>
        <v>17.433333333333334</v>
      </c>
      <c r="AT22" s="39">
        <f t="shared" si="14"/>
        <v>4.3583333333333334</v>
      </c>
      <c r="AU22" s="10">
        <f>(4.5+4.5+4.3)/3</f>
        <v>4.4333333333333336</v>
      </c>
      <c r="AV22" s="10">
        <f>(4.3+4.3+4.5)/3</f>
        <v>4.3666666666666663</v>
      </c>
      <c r="AW22" s="10">
        <f>(4.4+4.2+4.1)/3</f>
        <v>4.2333333333333334</v>
      </c>
      <c r="AX22" s="10">
        <f>(4.4+4.2+4.2)/3</f>
        <v>4.2666666666666666</v>
      </c>
      <c r="AY22" s="32">
        <f t="shared" si="15"/>
        <v>17.3</v>
      </c>
      <c r="AZ22" s="32">
        <f t="shared" si="16"/>
        <v>4.3250000000000002</v>
      </c>
    </row>
    <row r="23" spans="1:52" ht="29.25" customHeight="1">
      <c r="A23" s="6" t="s">
        <v>92</v>
      </c>
      <c r="B23" s="1"/>
      <c r="C23" s="40"/>
      <c r="D23" s="40"/>
      <c r="E23" s="40"/>
      <c r="F23" s="40"/>
      <c r="G23" s="40"/>
      <c r="H23" s="43">
        <f t="shared" si="19"/>
        <v>0</v>
      </c>
      <c r="I23" s="43">
        <f t="shared" si="20"/>
        <v>0</v>
      </c>
      <c r="J23" s="4"/>
      <c r="K23" s="4"/>
      <c r="L23" s="32">
        <f t="shared" ref="L23:L28" si="24">SUM(J23:K23)</f>
        <v>0</v>
      </c>
      <c r="M23" s="32">
        <f t="shared" si="4"/>
        <v>0</v>
      </c>
      <c r="N23" s="40"/>
      <c r="O23" s="40"/>
      <c r="P23" s="40"/>
      <c r="Q23" s="40"/>
      <c r="R23" s="40"/>
      <c r="S23" s="51">
        <f t="shared" ref="S23:S35" si="25">SUM(N23:R23)</f>
        <v>0</v>
      </c>
      <c r="T23" s="51">
        <f t="shared" si="22"/>
        <v>0</v>
      </c>
      <c r="U23" s="4"/>
      <c r="V23" s="4"/>
      <c r="W23" s="4"/>
      <c r="X23" s="4"/>
      <c r="Y23" s="32">
        <f t="shared" si="7"/>
        <v>0</v>
      </c>
      <c r="Z23" s="32">
        <f t="shared" si="8"/>
        <v>0</v>
      </c>
      <c r="AA23" s="40"/>
      <c r="AB23" s="40"/>
      <c r="AC23" s="40"/>
      <c r="AD23" s="40"/>
      <c r="AE23" s="39">
        <f t="shared" si="9"/>
        <v>0</v>
      </c>
      <c r="AF23" s="39">
        <f t="shared" si="10"/>
        <v>0</v>
      </c>
      <c r="AG23" s="22"/>
      <c r="AH23" s="4"/>
      <c r="AI23" s="4"/>
      <c r="AJ23" s="4"/>
      <c r="AK23" s="4"/>
      <c r="AL23" s="4"/>
      <c r="AM23" s="32">
        <f t="shared" si="11"/>
        <v>0</v>
      </c>
      <c r="AN23" s="32">
        <f t="shared" si="12"/>
        <v>0</v>
      </c>
      <c r="AO23" s="40"/>
      <c r="AP23" s="40"/>
      <c r="AQ23" s="40"/>
      <c r="AR23" s="40"/>
      <c r="AS23" s="39">
        <f t="shared" si="13"/>
        <v>0</v>
      </c>
      <c r="AT23" s="39">
        <f t="shared" si="14"/>
        <v>0</v>
      </c>
      <c r="AU23" s="4"/>
      <c r="AV23" s="4"/>
      <c r="AW23" s="4"/>
      <c r="AX23" s="4"/>
      <c r="AY23" s="32">
        <f t="shared" si="15"/>
        <v>0</v>
      </c>
      <c r="AZ23" s="32">
        <f t="shared" si="16"/>
        <v>0</v>
      </c>
    </row>
    <row r="24" spans="1:52" ht="63" customHeight="1">
      <c r="A24" s="2" t="s">
        <v>93</v>
      </c>
      <c r="B24" s="1" t="s">
        <v>94</v>
      </c>
      <c r="C24" s="42">
        <v>2673000</v>
      </c>
      <c r="D24" s="42">
        <v>3181000</v>
      </c>
      <c r="E24" s="42">
        <v>2610000</v>
      </c>
      <c r="F24" s="42">
        <v>2834000</v>
      </c>
      <c r="G24" s="42">
        <v>4619000</v>
      </c>
      <c r="H24" s="39">
        <f t="shared" si="19"/>
        <v>15917000</v>
      </c>
      <c r="I24" s="39">
        <f t="shared" si="20"/>
        <v>3183400</v>
      </c>
      <c r="J24" s="11">
        <v>2284000</v>
      </c>
      <c r="K24" s="11">
        <v>5444000</v>
      </c>
      <c r="L24" s="32">
        <f t="shared" si="24"/>
        <v>7728000</v>
      </c>
      <c r="M24" s="32">
        <f t="shared" si="4"/>
        <v>3864000</v>
      </c>
      <c r="N24" s="42">
        <f>11117000</f>
        <v>11117000</v>
      </c>
      <c r="O24" s="42">
        <v>7792000</v>
      </c>
      <c r="P24" s="42">
        <v>9587000</v>
      </c>
      <c r="Q24" s="42">
        <v>8103000</v>
      </c>
      <c r="R24" s="42">
        <v>11370000</v>
      </c>
      <c r="S24" s="39">
        <f t="shared" si="25"/>
        <v>47969000</v>
      </c>
      <c r="T24" s="39">
        <f t="shared" si="22"/>
        <v>9593800</v>
      </c>
      <c r="U24" s="11">
        <v>9673000</v>
      </c>
      <c r="V24" s="11">
        <v>9057000</v>
      </c>
      <c r="W24" s="11">
        <v>8705000</v>
      </c>
      <c r="X24" s="11">
        <v>9829000</v>
      </c>
      <c r="Y24" s="32">
        <f t="shared" si="7"/>
        <v>37264000</v>
      </c>
      <c r="Z24" s="32">
        <f t="shared" si="8"/>
        <v>9316000</v>
      </c>
      <c r="AA24" s="42">
        <v>9518000</v>
      </c>
      <c r="AB24" s="42">
        <v>13213000</v>
      </c>
      <c r="AC24" s="42">
        <v>10639000</v>
      </c>
      <c r="AD24" s="42">
        <v>5826000</v>
      </c>
      <c r="AE24" s="39">
        <f t="shared" si="9"/>
        <v>39196000</v>
      </c>
      <c r="AF24" s="39">
        <f t="shared" si="10"/>
        <v>9799000</v>
      </c>
      <c r="AG24" s="28">
        <v>5342000</v>
      </c>
      <c r="AH24" s="11">
        <v>17300000</v>
      </c>
      <c r="AI24" s="11">
        <v>6347000</v>
      </c>
      <c r="AJ24" s="11">
        <v>16077000</v>
      </c>
      <c r="AK24" s="11">
        <v>5919000</v>
      </c>
      <c r="AL24" s="11">
        <v>16698000</v>
      </c>
      <c r="AM24" s="32">
        <f t="shared" si="11"/>
        <v>67683000</v>
      </c>
      <c r="AN24" s="32">
        <f t="shared" si="12"/>
        <v>11280500</v>
      </c>
      <c r="AO24" s="42">
        <v>10308000</v>
      </c>
      <c r="AP24" s="42">
        <v>10476000</v>
      </c>
      <c r="AQ24" s="42">
        <v>10144000</v>
      </c>
      <c r="AR24" s="42">
        <v>7842000</v>
      </c>
      <c r="AS24" s="39">
        <f t="shared" si="13"/>
        <v>38770000</v>
      </c>
      <c r="AT24" s="39">
        <f t="shared" si="14"/>
        <v>9692500</v>
      </c>
      <c r="AU24" s="11">
        <v>11773000</v>
      </c>
      <c r="AV24" s="11">
        <v>13159000</v>
      </c>
      <c r="AW24" s="11">
        <v>15330000</v>
      </c>
      <c r="AX24" s="11">
        <v>9769000</v>
      </c>
      <c r="AY24" s="32">
        <f t="shared" si="15"/>
        <v>50031000</v>
      </c>
      <c r="AZ24" s="32">
        <f t="shared" si="16"/>
        <v>12507750</v>
      </c>
    </row>
    <row r="25" spans="1:52" ht="72.75" customHeight="1">
      <c r="A25" s="2" t="s">
        <v>95</v>
      </c>
      <c r="B25" s="1" t="s">
        <v>96</v>
      </c>
      <c r="C25" s="42">
        <v>35976</v>
      </c>
      <c r="D25" s="42">
        <v>655900</v>
      </c>
      <c r="E25" s="42">
        <v>211112</v>
      </c>
      <c r="F25" s="42">
        <v>19200</v>
      </c>
      <c r="G25" s="42">
        <v>541654</v>
      </c>
      <c r="H25" s="39">
        <f t="shared" si="19"/>
        <v>1463842</v>
      </c>
      <c r="I25" s="39">
        <f t="shared" si="20"/>
        <v>292768.40000000002</v>
      </c>
      <c r="J25" s="11">
        <v>132613</v>
      </c>
      <c r="K25" s="11">
        <v>133352</v>
      </c>
      <c r="L25" s="32">
        <f t="shared" si="24"/>
        <v>265965</v>
      </c>
      <c r="M25" s="32">
        <f t="shared" si="4"/>
        <v>132982.5</v>
      </c>
      <c r="N25" s="42">
        <v>1123464</v>
      </c>
      <c r="O25" s="42">
        <v>801447</v>
      </c>
      <c r="P25" s="42">
        <v>748625</v>
      </c>
      <c r="Q25" s="42">
        <v>755018</v>
      </c>
      <c r="R25" s="42">
        <v>767813</v>
      </c>
      <c r="S25" s="39">
        <f t="shared" si="25"/>
        <v>4196367</v>
      </c>
      <c r="T25" s="39">
        <f t="shared" si="22"/>
        <v>839273.4</v>
      </c>
      <c r="U25" s="11">
        <v>875095</v>
      </c>
      <c r="V25" s="11">
        <v>1451000</v>
      </c>
      <c r="W25" s="11">
        <v>973012</v>
      </c>
      <c r="X25" s="11">
        <v>851621</v>
      </c>
      <c r="Y25" s="32">
        <f t="shared" si="7"/>
        <v>4150728</v>
      </c>
      <c r="Z25" s="32">
        <f t="shared" si="8"/>
        <v>1037682</v>
      </c>
      <c r="AA25" s="42">
        <v>852592</v>
      </c>
      <c r="AB25" s="42">
        <v>1084000</v>
      </c>
      <c r="AC25" s="42">
        <v>1169860</v>
      </c>
      <c r="AD25" s="42">
        <v>1088152</v>
      </c>
      <c r="AE25" s="39">
        <f t="shared" si="9"/>
        <v>4194604</v>
      </c>
      <c r="AF25" s="39">
        <f t="shared" si="10"/>
        <v>1048651</v>
      </c>
      <c r="AG25" s="28">
        <v>551282</v>
      </c>
      <c r="AH25" s="11">
        <v>1449336</v>
      </c>
      <c r="AI25" s="11">
        <v>816000</v>
      </c>
      <c r="AJ25" s="11">
        <v>865473</v>
      </c>
      <c r="AK25" s="11">
        <v>572000</v>
      </c>
      <c r="AL25" s="11">
        <v>2756000</v>
      </c>
      <c r="AM25" s="32">
        <f t="shared" si="11"/>
        <v>7010091</v>
      </c>
      <c r="AN25" s="32">
        <f t="shared" si="12"/>
        <v>1168348.5</v>
      </c>
      <c r="AO25" s="42">
        <v>824000</v>
      </c>
      <c r="AP25" s="42">
        <v>1053000</v>
      </c>
      <c r="AQ25" s="42">
        <v>1214000</v>
      </c>
      <c r="AR25" s="42">
        <v>1194512</v>
      </c>
      <c r="AS25" s="39">
        <f t="shared" si="13"/>
        <v>4285512</v>
      </c>
      <c r="AT25" s="39">
        <f t="shared" si="14"/>
        <v>1071378</v>
      </c>
      <c r="AU25" s="11">
        <v>1201000</v>
      </c>
      <c r="AV25" s="11">
        <v>889000</v>
      </c>
      <c r="AW25" s="11">
        <v>1129000</v>
      </c>
      <c r="AX25" s="11">
        <v>543000</v>
      </c>
      <c r="AY25" s="32">
        <f t="shared" si="15"/>
        <v>3762000</v>
      </c>
      <c r="AZ25" s="32">
        <f t="shared" si="16"/>
        <v>940500</v>
      </c>
    </row>
    <row r="26" spans="1:52" ht="66" customHeight="1">
      <c r="A26" s="23" t="s">
        <v>97</v>
      </c>
      <c r="B26" s="36" t="s">
        <v>98</v>
      </c>
      <c r="C26" s="42">
        <f>(C24+C25)/C6</f>
        <v>338622</v>
      </c>
      <c r="D26" s="42">
        <f>(D24+D25)/D6</f>
        <v>239806.25</v>
      </c>
      <c r="E26" s="42">
        <f>(E24+E25)/E6</f>
        <v>235092.66666666666</v>
      </c>
      <c r="F26" s="42">
        <f>(F24+F25)/F6</f>
        <v>219476.92307692306</v>
      </c>
      <c r="G26" s="42">
        <f>(G24+G25)/G6</f>
        <v>258032.7</v>
      </c>
      <c r="H26" s="50">
        <f>SUM(C26:G26)</f>
        <v>1291030.5397435897</v>
      </c>
      <c r="I26" s="42">
        <f>H26/5</f>
        <v>258206.10794871795</v>
      </c>
      <c r="J26" s="168">
        <f>(J24+J25)/J6</f>
        <v>402768.83333333331</v>
      </c>
      <c r="K26" s="168">
        <f>(K24+K25)/K6</f>
        <v>185911.73333333334</v>
      </c>
      <c r="L26" s="169">
        <f>SUM(J26:K26)</f>
        <v>588680.56666666665</v>
      </c>
      <c r="M26" s="168">
        <f>L26/2</f>
        <v>294340.28333333333</v>
      </c>
      <c r="N26" s="42">
        <f>(N24+N25)/N6</f>
        <v>226675.25925925927</v>
      </c>
      <c r="O26" s="42">
        <f>(O24+O25)/O6</f>
        <v>238706.86111111112</v>
      </c>
      <c r="P26" s="42">
        <f>(P24+P25)/P6</f>
        <v>229680.55555555556</v>
      </c>
      <c r="Q26" s="42">
        <f>(Q24+Q25)/Q6</f>
        <v>239405.89189189189</v>
      </c>
      <c r="R26" s="42">
        <f>(R24+R25)/R6</f>
        <v>205725.64406779662</v>
      </c>
      <c r="S26" s="50">
        <f>SUM(N26:R26)</f>
        <v>1140194.2118856146</v>
      </c>
      <c r="T26" s="42">
        <f>S26/5</f>
        <v>228038.8423771229</v>
      </c>
      <c r="U26" s="168">
        <f>(U24+U25)/U6</f>
        <v>202847.98076923078</v>
      </c>
      <c r="V26" s="168">
        <f>(V24+V25)/V6</f>
        <v>223574.46808510637</v>
      </c>
      <c r="W26" s="168">
        <f>(W24+W25)/W6</f>
        <v>236049.07317073172</v>
      </c>
      <c r="X26" s="168">
        <f>(X24+X25)/X6</f>
        <v>222512.9375</v>
      </c>
      <c r="Y26" s="35">
        <f>SUM(U26:X26)</f>
        <v>884984.45952506887</v>
      </c>
      <c r="Z26" s="168">
        <f>Y26/4</f>
        <v>221246.11488126722</v>
      </c>
      <c r="AA26" s="42">
        <f>(AA24+AA25)/AA6</f>
        <v>220650.89361702127</v>
      </c>
      <c r="AB26" s="42">
        <f>(AB24+AB25)/AB6</f>
        <v>219953.84615384616</v>
      </c>
      <c r="AC26" s="42">
        <f>(AC24+AC25)/AC6</f>
        <v>210872.5</v>
      </c>
      <c r="AD26" s="42">
        <f>(AD24+AD25)/AD6</f>
        <v>238419.03448275861</v>
      </c>
      <c r="AE26" s="50">
        <f>SUM(AA26:AD26)</f>
        <v>889896.274253626</v>
      </c>
      <c r="AF26" s="42">
        <f>AE26/4</f>
        <v>222474.0685634065</v>
      </c>
      <c r="AG26" s="168">
        <f>(AG24+AG25)/AG6</f>
        <v>235731.28</v>
      </c>
      <c r="AH26" s="168">
        <f>(AH24+AH25)/AH6</f>
        <v>208325.95555555556</v>
      </c>
      <c r="AI26" s="168">
        <f>(AI24+AI25)/AI6</f>
        <v>188500</v>
      </c>
      <c r="AJ26" s="168">
        <f>(AJ24+AJ25)/AJ6</f>
        <v>184157.3152173913</v>
      </c>
      <c r="AK26" s="168">
        <f>(AK24+AK25)/AK6</f>
        <v>231821.42857142858</v>
      </c>
      <c r="AL26" s="168">
        <f>(AL24+AL25)/AL6</f>
        <v>221068.18181818182</v>
      </c>
      <c r="AM26" s="35">
        <f>SUM(AG26:AL26)</f>
        <v>1269604.1611625573</v>
      </c>
      <c r="AN26" s="168">
        <f>AM26/6</f>
        <v>211600.6935270929</v>
      </c>
      <c r="AO26" s="42">
        <f>(AO24+AO25)/AO6</f>
        <v>210037.7358490566</v>
      </c>
      <c r="AP26" s="42">
        <f>(AP24+AP25)/AP6</f>
        <v>230580</v>
      </c>
      <c r="AQ26" s="42">
        <f>(AQ24+AQ25)/AQ6</f>
        <v>210333.33333333334</v>
      </c>
      <c r="AR26" s="42">
        <f>(AR24+AR25)/AR6</f>
        <v>251014.22222222222</v>
      </c>
      <c r="AS26" s="50">
        <f>SUM(AO26:AR26)</f>
        <v>901965.29140461225</v>
      </c>
      <c r="AT26" s="42">
        <f>AS26/4</f>
        <v>225491.32285115306</v>
      </c>
      <c r="AU26" s="168">
        <f>(AU24+AU25)/AU6</f>
        <v>231678.57142857142</v>
      </c>
      <c r="AV26" s="168">
        <f>(AV24+AV25)/AV6</f>
        <v>212848.48484848486</v>
      </c>
      <c r="AW26" s="168">
        <f>(AW24+AW25)/AW6</f>
        <v>193635.29411764705</v>
      </c>
      <c r="AX26" s="168">
        <f>(AX24+AX25)/AX6</f>
        <v>206240</v>
      </c>
      <c r="AY26" s="35">
        <f>SUM(AU26:AX26)</f>
        <v>844402.35039470333</v>
      </c>
      <c r="AZ26" s="168">
        <f>AY26/4</f>
        <v>211100.58759867583</v>
      </c>
    </row>
    <row r="27" spans="1:52" ht="88.5" customHeight="1">
      <c r="A27" s="2" t="s">
        <v>99</v>
      </c>
      <c r="B27" s="1" t="s">
        <v>100</v>
      </c>
      <c r="C27" s="40">
        <v>3247</v>
      </c>
      <c r="D27" s="40">
        <v>2400</v>
      </c>
      <c r="E27" s="40">
        <v>2062</v>
      </c>
      <c r="F27" s="40">
        <v>1440</v>
      </c>
      <c r="G27" s="40">
        <v>3786</v>
      </c>
      <c r="H27" s="39">
        <f t="shared" si="19"/>
        <v>12935</v>
      </c>
      <c r="I27" s="39">
        <f t="shared" si="20"/>
        <v>2587</v>
      </c>
      <c r="J27" s="4">
        <v>1566</v>
      </c>
      <c r="K27" s="4">
        <v>2120</v>
      </c>
      <c r="L27" s="32">
        <f t="shared" si="24"/>
        <v>3686</v>
      </c>
      <c r="M27" s="32">
        <f t="shared" si="4"/>
        <v>1843</v>
      </c>
      <c r="N27" s="40">
        <v>2500</v>
      </c>
      <c r="O27" s="40">
        <v>2277</v>
      </c>
      <c r="P27" s="40">
        <v>1480</v>
      </c>
      <c r="Q27" s="40">
        <v>1800</v>
      </c>
      <c r="R27" s="40">
        <v>2173</v>
      </c>
      <c r="S27" s="39">
        <f t="shared" si="25"/>
        <v>10230</v>
      </c>
      <c r="T27" s="39">
        <f t="shared" si="22"/>
        <v>2046</v>
      </c>
      <c r="U27" s="4">
        <v>3260</v>
      </c>
      <c r="V27" s="4">
        <v>1820</v>
      </c>
      <c r="W27" s="4">
        <v>3100</v>
      </c>
      <c r="X27" s="4">
        <v>2413</v>
      </c>
      <c r="Y27" s="32">
        <f t="shared" si="7"/>
        <v>10593</v>
      </c>
      <c r="Z27" s="32">
        <f t="shared" si="8"/>
        <v>2648.25</v>
      </c>
      <c r="AA27" s="40">
        <v>3100</v>
      </c>
      <c r="AB27" s="40">
        <v>2080</v>
      </c>
      <c r="AC27" s="40">
        <v>3200</v>
      </c>
      <c r="AD27" s="40">
        <v>2386</v>
      </c>
      <c r="AE27" s="39">
        <f t="shared" si="9"/>
        <v>10766</v>
      </c>
      <c r="AF27" s="39">
        <f t="shared" si="10"/>
        <v>2691.5</v>
      </c>
      <c r="AG27" s="22">
        <v>1823</v>
      </c>
      <c r="AH27" s="4">
        <v>3613</v>
      </c>
      <c r="AI27" s="4">
        <v>1590</v>
      </c>
      <c r="AJ27" s="4">
        <v>2964</v>
      </c>
      <c r="AK27" s="4">
        <v>1200</v>
      </c>
      <c r="AL27" s="4">
        <v>2657</v>
      </c>
      <c r="AM27" s="32">
        <f t="shared" si="11"/>
        <v>13847</v>
      </c>
      <c r="AN27" s="32">
        <f t="shared" si="12"/>
        <v>2307.8333333333335</v>
      </c>
      <c r="AO27" s="40">
        <v>3757</v>
      </c>
      <c r="AP27" s="40">
        <v>1856</v>
      </c>
      <c r="AQ27" s="40">
        <v>4145</v>
      </c>
      <c r="AR27" s="40">
        <v>1632</v>
      </c>
      <c r="AS27" s="39">
        <f t="shared" si="13"/>
        <v>11390</v>
      </c>
      <c r="AT27" s="39">
        <f t="shared" si="14"/>
        <v>2847.5</v>
      </c>
      <c r="AU27" s="4">
        <v>2825</v>
      </c>
      <c r="AV27" s="4">
        <v>1648</v>
      </c>
      <c r="AW27" s="4">
        <v>4500</v>
      </c>
      <c r="AX27" s="4">
        <v>2000</v>
      </c>
      <c r="AY27" s="32">
        <f t="shared" si="15"/>
        <v>10973</v>
      </c>
      <c r="AZ27" s="32">
        <f t="shared" si="16"/>
        <v>2743.25</v>
      </c>
    </row>
    <row r="28" spans="1:52" ht="48" customHeight="1">
      <c r="A28" s="6" t="s">
        <v>101</v>
      </c>
      <c r="B28" s="1" t="s">
        <v>102</v>
      </c>
      <c r="C28" s="40"/>
      <c r="D28" s="40"/>
      <c r="E28" s="40"/>
      <c r="F28" s="40"/>
      <c r="G28" s="40"/>
      <c r="H28" s="39">
        <f t="shared" si="19"/>
        <v>0</v>
      </c>
      <c r="I28" s="39">
        <f t="shared" si="20"/>
        <v>0</v>
      </c>
      <c r="J28" s="4"/>
      <c r="K28" s="4"/>
      <c r="L28" s="32">
        <f t="shared" si="24"/>
        <v>0</v>
      </c>
      <c r="M28" s="32">
        <f t="shared" si="4"/>
        <v>0</v>
      </c>
      <c r="N28" s="40"/>
      <c r="O28" s="40"/>
      <c r="P28" s="40"/>
      <c r="Q28" s="40"/>
      <c r="R28" s="40"/>
      <c r="S28" s="51">
        <f t="shared" si="25"/>
        <v>0</v>
      </c>
      <c r="T28" s="51">
        <f t="shared" si="22"/>
        <v>0</v>
      </c>
      <c r="U28" s="4"/>
      <c r="V28" s="4"/>
      <c r="W28" s="4"/>
      <c r="X28" s="4"/>
      <c r="Y28" s="32">
        <f t="shared" si="7"/>
        <v>0</v>
      </c>
      <c r="Z28" s="32">
        <f t="shared" si="8"/>
        <v>0</v>
      </c>
      <c r="AA28" s="40"/>
      <c r="AB28" s="40"/>
      <c r="AC28" s="40"/>
      <c r="AD28" s="40"/>
      <c r="AE28" s="39">
        <f t="shared" si="9"/>
        <v>0</v>
      </c>
      <c r="AF28" s="39">
        <f t="shared" si="10"/>
        <v>0</v>
      </c>
      <c r="AG28" s="22"/>
      <c r="AH28" s="4"/>
      <c r="AI28" s="4"/>
      <c r="AJ28" s="4"/>
      <c r="AK28" s="4"/>
      <c r="AL28" s="4"/>
      <c r="AM28" s="32">
        <f t="shared" si="11"/>
        <v>0</v>
      </c>
      <c r="AN28" s="32">
        <f t="shared" si="12"/>
        <v>0</v>
      </c>
      <c r="AO28" s="40"/>
      <c r="AP28" s="40"/>
      <c r="AQ28" s="40"/>
      <c r="AR28" s="40"/>
      <c r="AS28" s="39">
        <f t="shared" si="13"/>
        <v>0</v>
      </c>
      <c r="AT28" s="39">
        <f t="shared" si="14"/>
        <v>0</v>
      </c>
      <c r="AU28" s="4"/>
      <c r="AV28" s="4"/>
      <c r="AW28" s="4"/>
      <c r="AX28" s="4"/>
      <c r="AY28" s="32">
        <f t="shared" si="15"/>
        <v>0</v>
      </c>
      <c r="AZ28" s="32">
        <f t="shared" si="16"/>
        <v>0</v>
      </c>
    </row>
    <row r="29" spans="1:52">
      <c r="A29" s="6" t="s">
        <v>103</v>
      </c>
      <c r="B29" s="1"/>
      <c r="C29" s="40"/>
      <c r="D29" s="40"/>
      <c r="E29" s="40"/>
      <c r="F29" s="40"/>
      <c r="G29" s="40"/>
      <c r="H29" s="39">
        <f t="shared" si="19"/>
        <v>0</v>
      </c>
      <c r="I29" s="39">
        <f t="shared" si="20"/>
        <v>0</v>
      </c>
      <c r="J29" s="4"/>
      <c r="K29" s="4"/>
      <c r="L29" s="32">
        <f t="shared" ref="L29:L35" si="26">SUM(J29:K29)</f>
        <v>0</v>
      </c>
      <c r="M29" s="32">
        <f t="shared" ref="M29:M35" si="27">L29/2</f>
        <v>0</v>
      </c>
      <c r="N29" s="40"/>
      <c r="O29" s="40"/>
      <c r="P29" s="40"/>
      <c r="Q29" s="40"/>
      <c r="R29" s="40"/>
      <c r="S29" s="51">
        <f t="shared" si="25"/>
        <v>0</v>
      </c>
      <c r="T29" s="51">
        <f t="shared" si="22"/>
        <v>0</v>
      </c>
      <c r="U29" s="4"/>
      <c r="V29" s="4"/>
      <c r="W29" s="4"/>
      <c r="X29" s="4"/>
      <c r="Y29" s="32">
        <f t="shared" ref="Y29:Y35" si="28">SUM(U29:X29)</f>
        <v>0</v>
      </c>
      <c r="Z29" s="32">
        <f t="shared" ref="Z29:Z35" si="29">Y29/4</f>
        <v>0</v>
      </c>
      <c r="AA29" s="40"/>
      <c r="AB29" s="40"/>
      <c r="AC29" s="40"/>
      <c r="AD29" s="40"/>
      <c r="AE29" s="39">
        <f t="shared" ref="AE29:AE35" si="30">SUM(AA29:AD29)</f>
        <v>0</v>
      </c>
      <c r="AF29" s="39">
        <f t="shared" ref="AF29:AF35" si="31">AE29/4</f>
        <v>0</v>
      </c>
      <c r="AG29" s="22"/>
      <c r="AH29" s="4"/>
      <c r="AI29" s="4"/>
      <c r="AJ29" s="4"/>
      <c r="AK29" s="4"/>
      <c r="AL29" s="4"/>
      <c r="AM29" s="32">
        <f t="shared" ref="AM29:AM35" si="32">SUM(AG29:AL29)</f>
        <v>0</v>
      </c>
      <c r="AN29" s="32">
        <f t="shared" ref="AN29:AN35" si="33">AM29/6</f>
        <v>0</v>
      </c>
      <c r="AO29" s="40"/>
      <c r="AP29" s="40"/>
      <c r="AQ29" s="40"/>
      <c r="AR29" s="40"/>
      <c r="AS29" s="39">
        <f t="shared" ref="AS29:AS35" si="34">SUM(AO29:AR29)</f>
        <v>0</v>
      </c>
      <c r="AT29" s="39">
        <f t="shared" ref="AT29:AT35" si="35">AS29/4</f>
        <v>0</v>
      </c>
      <c r="AU29" s="4"/>
      <c r="AV29" s="4"/>
      <c r="AW29" s="4"/>
      <c r="AX29" s="4"/>
      <c r="AY29" s="32">
        <f t="shared" ref="AY29:AY35" si="36">SUM(AU29:AX29)</f>
        <v>0</v>
      </c>
      <c r="AZ29" s="32">
        <f t="shared" ref="AZ29:AZ35" si="37">AY29/4</f>
        <v>0</v>
      </c>
    </row>
    <row r="30" spans="1:52">
      <c r="A30" s="2" t="s">
        <v>104</v>
      </c>
      <c r="B30" s="1" t="s">
        <v>105</v>
      </c>
      <c r="C30" s="42"/>
      <c r="D30" s="42">
        <v>80685</v>
      </c>
      <c r="E30" s="42">
        <v>40092</v>
      </c>
      <c r="F30" s="42">
        <v>210562</v>
      </c>
      <c r="G30" s="42">
        <v>72611</v>
      </c>
      <c r="H30" s="39">
        <f t="shared" si="19"/>
        <v>403950</v>
      </c>
      <c r="I30" s="39">
        <f t="shared" si="20"/>
        <v>80790</v>
      </c>
      <c r="J30" s="11">
        <v>57987</v>
      </c>
      <c r="K30" s="11">
        <v>59682</v>
      </c>
      <c r="L30" s="32">
        <f t="shared" si="26"/>
        <v>117669</v>
      </c>
      <c r="M30" s="32">
        <f t="shared" si="27"/>
        <v>58834.5</v>
      </c>
      <c r="N30" s="42">
        <v>221191</v>
      </c>
      <c r="O30" s="42">
        <v>248819</v>
      </c>
      <c r="P30" s="42">
        <v>95466</v>
      </c>
      <c r="Q30" s="42">
        <v>179782</v>
      </c>
      <c r="R30" s="42">
        <v>119367</v>
      </c>
      <c r="S30" s="39">
        <f t="shared" si="25"/>
        <v>864625</v>
      </c>
      <c r="T30" s="39">
        <f t="shared" si="22"/>
        <v>172925</v>
      </c>
      <c r="U30" s="11">
        <v>134141</v>
      </c>
      <c r="V30" s="11">
        <v>95418</v>
      </c>
      <c r="W30" s="11">
        <v>226294</v>
      </c>
      <c r="X30" s="11">
        <v>175277</v>
      </c>
      <c r="Y30" s="32">
        <f t="shared" si="28"/>
        <v>631130</v>
      </c>
      <c r="Z30" s="32">
        <f t="shared" si="29"/>
        <v>157782.5</v>
      </c>
      <c r="AA30" s="42">
        <v>198529</v>
      </c>
      <c r="AB30" s="42">
        <v>141236</v>
      </c>
      <c r="AC30" s="42">
        <v>108430</v>
      </c>
      <c r="AD30" s="42">
        <v>413328</v>
      </c>
      <c r="AE30" s="39">
        <f t="shared" si="30"/>
        <v>861523</v>
      </c>
      <c r="AF30" s="39">
        <f t="shared" si="31"/>
        <v>215380.75</v>
      </c>
      <c r="AG30" s="11">
        <v>75281</v>
      </c>
      <c r="AH30" s="11">
        <v>230565</v>
      </c>
      <c r="AI30" s="11">
        <v>174639</v>
      </c>
      <c r="AJ30" s="11">
        <v>111904</v>
      </c>
      <c r="AK30" s="11">
        <v>88137</v>
      </c>
      <c r="AL30" s="11">
        <v>457793</v>
      </c>
      <c r="AM30" s="32">
        <f t="shared" si="32"/>
        <v>1138319</v>
      </c>
      <c r="AN30" s="32">
        <f t="shared" si="33"/>
        <v>189719.83333333334</v>
      </c>
      <c r="AO30" s="42">
        <v>169280</v>
      </c>
      <c r="AP30" s="42">
        <v>103412</v>
      </c>
      <c r="AQ30" s="42">
        <v>97263</v>
      </c>
      <c r="AR30" s="42">
        <v>156003</v>
      </c>
      <c r="AS30" s="39">
        <f t="shared" si="34"/>
        <v>525958</v>
      </c>
      <c r="AT30" s="39">
        <f t="shared" si="35"/>
        <v>131489.5</v>
      </c>
      <c r="AU30" s="11">
        <v>93505</v>
      </c>
      <c r="AV30" s="11">
        <v>129850</v>
      </c>
      <c r="AW30" s="11">
        <v>89845</v>
      </c>
      <c r="AX30" s="11">
        <v>114058</v>
      </c>
      <c r="AY30" s="32">
        <f t="shared" si="36"/>
        <v>427258</v>
      </c>
      <c r="AZ30" s="32">
        <f t="shared" si="37"/>
        <v>106814.5</v>
      </c>
    </row>
    <row r="31" spans="1:52">
      <c r="A31" s="2" t="s">
        <v>106</v>
      </c>
      <c r="B31" s="1"/>
      <c r="C31" s="40"/>
      <c r="D31" s="40">
        <v>335</v>
      </c>
      <c r="E31" s="40">
        <v>142</v>
      </c>
      <c r="F31" s="40">
        <v>452</v>
      </c>
      <c r="G31" s="40">
        <v>629</v>
      </c>
      <c r="H31" s="39">
        <f t="shared" ref="H31:H35" si="38">SUM(C31:G31)</f>
        <v>1558</v>
      </c>
      <c r="I31" s="39">
        <f t="shared" ref="I31:I35" si="39">H31/5</f>
        <v>311.60000000000002</v>
      </c>
      <c r="J31" s="4">
        <v>228</v>
      </c>
      <c r="K31" s="4">
        <v>170</v>
      </c>
      <c r="L31" s="32">
        <f t="shared" si="26"/>
        <v>398</v>
      </c>
      <c r="M31" s="32">
        <f t="shared" si="27"/>
        <v>199</v>
      </c>
      <c r="N31" s="40">
        <v>932</v>
      </c>
      <c r="O31" s="40">
        <v>685</v>
      </c>
      <c r="P31" s="40">
        <v>554</v>
      </c>
      <c r="Q31" s="40">
        <v>541</v>
      </c>
      <c r="R31" s="40">
        <v>808</v>
      </c>
      <c r="S31" s="39">
        <f t="shared" si="25"/>
        <v>3520</v>
      </c>
      <c r="T31" s="39">
        <f t="shared" si="22"/>
        <v>704</v>
      </c>
      <c r="U31" s="4">
        <v>732</v>
      </c>
      <c r="V31" s="4">
        <v>579</v>
      </c>
      <c r="W31" s="4">
        <v>951</v>
      </c>
      <c r="X31" s="4">
        <v>707</v>
      </c>
      <c r="Y31" s="32">
        <f t="shared" si="28"/>
        <v>2969</v>
      </c>
      <c r="Z31" s="32">
        <f t="shared" si="29"/>
        <v>742.25</v>
      </c>
      <c r="AA31" s="40">
        <v>707</v>
      </c>
      <c r="AB31" s="40">
        <v>775</v>
      </c>
      <c r="AC31" s="40">
        <v>610</v>
      </c>
      <c r="AD31" s="40">
        <v>988</v>
      </c>
      <c r="AE31" s="39">
        <f t="shared" si="30"/>
        <v>3080</v>
      </c>
      <c r="AF31" s="39">
        <f t="shared" si="31"/>
        <v>770</v>
      </c>
      <c r="AG31" s="22">
        <v>318</v>
      </c>
      <c r="AH31" s="4">
        <v>1000</v>
      </c>
      <c r="AI31" s="4">
        <v>777</v>
      </c>
      <c r="AJ31" s="4">
        <v>1157</v>
      </c>
      <c r="AK31" s="4">
        <v>451</v>
      </c>
      <c r="AL31" s="4">
        <v>1045</v>
      </c>
      <c r="AM31" s="32">
        <f t="shared" si="32"/>
        <v>4748</v>
      </c>
      <c r="AN31" s="32">
        <f t="shared" si="33"/>
        <v>791.33333333333337</v>
      </c>
      <c r="AO31" s="40">
        <v>582</v>
      </c>
      <c r="AP31" s="40">
        <v>652</v>
      </c>
      <c r="AQ31" s="40">
        <v>579</v>
      </c>
      <c r="AR31" s="40">
        <v>766</v>
      </c>
      <c r="AS31" s="39">
        <f t="shared" si="34"/>
        <v>2579</v>
      </c>
      <c r="AT31" s="39">
        <f t="shared" si="35"/>
        <v>644.75</v>
      </c>
      <c r="AU31" s="4">
        <v>1197</v>
      </c>
      <c r="AV31" s="4">
        <v>752</v>
      </c>
      <c r="AW31" s="4">
        <v>920</v>
      </c>
      <c r="AX31" s="4">
        <v>522</v>
      </c>
      <c r="AY31" s="32">
        <f t="shared" si="36"/>
        <v>3391</v>
      </c>
      <c r="AZ31" s="32">
        <f t="shared" si="37"/>
        <v>847.75</v>
      </c>
    </row>
    <row r="32" spans="1:52" ht="57">
      <c r="A32" s="2" t="s">
        <v>107</v>
      </c>
      <c r="B32" s="1" t="s">
        <v>108</v>
      </c>
      <c r="C32" s="40"/>
      <c r="D32" s="45">
        <f>D30/D6</f>
        <v>5042.8125</v>
      </c>
      <c r="E32" s="45">
        <f>E30/E6</f>
        <v>3341</v>
      </c>
      <c r="F32" s="45">
        <f>F30/F6</f>
        <v>16197.076923076924</v>
      </c>
      <c r="G32" s="45">
        <f>G30/G6</f>
        <v>3630.55</v>
      </c>
      <c r="H32" s="39">
        <f t="shared" si="38"/>
        <v>28211.439423076921</v>
      </c>
      <c r="I32" s="39">
        <f t="shared" si="39"/>
        <v>5642.2878846153844</v>
      </c>
      <c r="J32" s="12">
        <f>J30/J6</f>
        <v>9664.5</v>
      </c>
      <c r="K32" s="12">
        <f>K30/K6</f>
        <v>1989.4</v>
      </c>
      <c r="L32" s="32">
        <f t="shared" si="26"/>
        <v>11653.9</v>
      </c>
      <c r="M32" s="32">
        <f t="shared" si="27"/>
        <v>5826.95</v>
      </c>
      <c r="N32" s="45">
        <f>N30/N6</f>
        <v>4096.1296296296296</v>
      </c>
      <c r="O32" s="45">
        <f>O30/O6</f>
        <v>6911.6388888888887</v>
      </c>
      <c r="P32" s="45">
        <f>P30/P6</f>
        <v>2121.4666666666667</v>
      </c>
      <c r="Q32" s="45">
        <f>Q30/Q6</f>
        <v>4858.9729729729734</v>
      </c>
      <c r="R32" s="45">
        <f>R30/R6</f>
        <v>2023.1694915254238</v>
      </c>
      <c r="S32" s="39">
        <f t="shared" si="25"/>
        <v>20011.377649683582</v>
      </c>
      <c r="T32" s="39">
        <f t="shared" si="22"/>
        <v>4002.2755299367163</v>
      </c>
      <c r="U32" s="12">
        <f>U30/U6</f>
        <v>2579.6346153846152</v>
      </c>
      <c r="V32" s="12">
        <f>V30/V6</f>
        <v>2030.1702127659576</v>
      </c>
      <c r="W32" s="12">
        <f>W30/W6</f>
        <v>5519.3658536585363</v>
      </c>
      <c r="X32" s="12">
        <f>X30/X6</f>
        <v>3651.6041666666665</v>
      </c>
      <c r="Y32" s="32">
        <f t="shared" si="28"/>
        <v>13780.774848475774</v>
      </c>
      <c r="Z32" s="32">
        <f t="shared" si="29"/>
        <v>3445.1937121189435</v>
      </c>
      <c r="AA32" s="45">
        <f>AA30/AA6</f>
        <v>4224.0212765957449</v>
      </c>
      <c r="AB32" s="45">
        <f>AB30/AB6</f>
        <v>2172.8615384615387</v>
      </c>
      <c r="AC32" s="45">
        <f>AC30/AC6</f>
        <v>1936.25</v>
      </c>
      <c r="AD32" s="45">
        <f>AD30/AD6</f>
        <v>14252.689655172413</v>
      </c>
      <c r="AE32" s="39">
        <f t="shared" si="30"/>
        <v>22585.822470229698</v>
      </c>
      <c r="AF32" s="39">
        <f t="shared" si="31"/>
        <v>5646.4556175574244</v>
      </c>
      <c r="AG32" s="12">
        <f t="shared" ref="AG32:AL32" si="40">AG30/AG6</f>
        <v>3011.24</v>
      </c>
      <c r="AH32" s="12">
        <f t="shared" si="40"/>
        <v>2561.8333333333335</v>
      </c>
      <c r="AI32" s="12">
        <f t="shared" si="40"/>
        <v>4595.7631578947367</v>
      </c>
      <c r="AJ32" s="12">
        <f t="shared" si="40"/>
        <v>1216.3478260869565</v>
      </c>
      <c r="AK32" s="12">
        <f t="shared" si="40"/>
        <v>3147.75</v>
      </c>
      <c r="AL32" s="12">
        <f t="shared" si="40"/>
        <v>5202.193181818182</v>
      </c>
      <c r="AM32" s="32">
        <f t="shared" si="32"/>
        <v>19735.12749913321</v>
      </c>
      <c r="AN32" s="32">
        <f t="shared" si="33"/>
        <v>3289.1879165222017</v>
      </c>
      <c r="AO32" s="45">
        <f>AO30/AO6</f>
        <v>3193.9622641509436</v>
      </c>
      <c r="AP32" s="45">
        <f>AP30/AP6</f>
        <v>2068.2399999999998</v>
      </c>
      <c r="AQ32" s="45">
        <f>AQ30/AQ6</f>
        <v>1801.1666666666667</v>
      </c>
      <c r="AR32" s="45">
        <f>AR30/AR6</f>
        <v>4333.416666666667</v>
      </c>
      <c r="AS32" s="39">
        <f t="shared" si="34"/>
        <v>11396.785597484277</v>
      </c>
      <c r="AT32" s="39">
        <f t="shared" si="35"/>
        <v>2849.1963993710692</v>
      </c>
      <c r="AU32" s="12">
        <f>AU30/AU6</f>
        <v>1669.7321428571429</v>
      </c>
      <c r="AV32" s="12">
        <f>AV30/AV6</f>
        <v>1967.4242424242425</v>
      </c>
      <c r="AW32" s="12">
        <f>AW30/AW6</f>
        <v>1057</v>
      </c>
      <c r="AX32" s="12">
        <f>AX30/AX6</f>
        <v>2281.16</v>
      </c>
      <c r="AY32" s="32">
        <f t="shared" si="36"/>
        <v>6975.316385281385</v>
      </c>
      <c r="AZ32" s="32">
        <f t="shared" si="37"/>
        <v>1743.8290963203463</v>
      </c>
    </row>
    <row r="33" spans="1:52">
      <c r="A33" s="2" t="s">
        <v>109</v>
      </c>
      <c r="B33" s="1"/>
      <c r="C33" s="46" t="e">
        <f>C30/C31</f>
        <v>#DIV/0!</v>
      </c>
      <c r="D33" s="46">
        <f>D30/D31</f>
        <v>240.85074626865671</v>
      </c>
      <c r="E33" s="46">
        <f>E30/E31</f>
        <v>282.33802816901408</v>
      </c>
      <c r="F33" s="46">
        <f>F30/F31</f>
        <v>465.84513274336285</v>
      </c>
      <c r="G33" s="46">
        <f>G30/G31</f>
        <v>115.43879173290938</v>
      </c>
      <c r="H33" s="39">
        <f>SUM(D33:G33)</f>
        <v>1104.4726989139428</v>
      </c>
      <c r="I33" s="39">
        <f>H33/4</f>
        <v>276.11817472848571</v>
      </c>
      <c r="J33" s="13">
        <f>J30/J31</f>
        <v>254.32894736842104</v>
      </c>
      <c r="K33" s="13">
        <f>K30/K31</f>
        <v>351.07058823529411</v>
      </c>
      <c r="L33" s="32">
        <f t="shared" si="26"/>
        <v>605.39953560371509</v>
      </c>
      <c r="M33" s="32">
        <f t="shared" si="27"/>
        <v>302.69976780185755</v>
      </c>
      <c r="N33" s="46">
        <f>N30/N31</f>
        <v>237.32939914163092</v>
      </c>
      <c r="O33" s="46">
        <f>O30/O31</f>
        <v>363.23941605839417</v>
      </c>
      <c r="P33" s="46">
        <f>P30/P31</f>
        <v>172.32129963898916</v>
      </c>
      <c r="Q33" s="46">
        <f>Q30/Q31</f>
        <v>332.31423290203327</v>
      </c>
      <c r="R33" s="46">
        <f>R30/R31</f>
        <v>147.73143564356437</v>
      </c>
      <c r="S33" s="39">
        <f t="shared" si="25"/>
        <v>1252.9357833846118</v>
      </c>
      <c r="T33" s="39">
        <f t="shared" si="22"/>
        <v>250.58715667692235</v>
      </c>
      <c r="U33" s="13">
        <f>U30/U31</f>
        <v>183.25273224043715</v>
      </c>
      <c r="V33" s="13">
        <f>V30/V31</f>
        <v>164.79792746113989</v>
      </c>
      <c r="W33" s="13">
        <f>W30/W31</f>
        <v>237.95373291272344</v>
      </c>
      <c r="X33" s="13">
        <f>X30/X31</f>
        <v>247.91654879773691</v>
      </c>
      <c r="Y33" s="32">
        <f t="shared" si="28"/>
        <v>833.92094141203745</v>
      </c>
      <c r="Z33" s="32">
        <f t="shared" si="29"/>
        <v>208.48023535300936</v>
      </c>
      <c r="AA33" s="46">
        <f>AA30/AA31</f>
        <v>280.80480905233378</v>
      </c>
      <c r="AB33" s="46">
        <f>AB30/AB31</f>
        <v>182.24</v>
      </c>
      <c r="AC33" s="46">
        <f>AC30/AC31</f>
        <v>177.75409836065575</v>
      </c>
      <c r="AD33" s="46">
        <f>AD30/AD31</f>
        <v>418.34817813765181</v>
      </c>
      <c r="AE33" s="39">
        <f t="shared" si="30"/>
        <v>1059.1470855506413</v>
      </c>
      <c r="AF33" s="39">
        <f t="shared" si="31"/>
        <v>264.78677138766034</v>
      </c>
      <c r="AG33" s="13">
        <f t="shared" ref="AG33:AL33" si="41">AG30/AG31</f>
        <v>236.73270440251574</v>
      </c>
      <c r="AH33" s="13">
        <f t="shared" si="41"/>
        <v>230.565</v>
      </c>
      <c r="AI33" s="13">
        <f t="shared" si="41"/>
        <v>224.76061776061775</v>
      </c>
      <c r="AJ33" s="13">
        <f t="shared" si="41"/>
        <v>96.719101123595507</v>
      </c>
      <c r="AK33" s="13">
        <f t="shared" si="41"/>
        <v>195.42572062084258</v>
      </c>
      <c r="AL33" s="13">
        <f t="shared" si="41"/>
        <v>438.07942583732057</v>
      </c>
      <c r="AM33" s="32">
        <f t="shared" si="32"/>
        <v>1422.282569744892</v>
      </c>
      <c r="AN33" s="32">
        <f t="shared" si="33"/>
        <v>237.04709495748202</v>
      </c>
      <c r="AO33" s="46">
        <f>AO30/AO31</f>
        <v>290.85910652920961</v>
      </c>
      <c r="AP33" s="46">
        <f>AP30/AP31</f>
        <v>158.60736196319019</v>
      </c>
      <c r="AQ33" s="46">
        <f>AQ30/AQ31</f>
        <v>167.98445595854923</v>
      </c>
      <c r="AR33" s="46">
        <f>AR30/AR31</f>
        <v>203.65926892950392</v>
      </c>
      <c r="AS33" s="39">
        <f t="shared" si="34"/>
        <v>821.11019338045298</v>
      </c>
      <c r="AT33" s="39">
        <f t="shared" si="35"/>
        <v>205.27754834511325</v>
      </c>
      <c r="AU33" s="13">
        <f>AU30/AU31</f>
        <v>78.116123642439433</v>
      </c>
      <c r="AV33" s="13">
        <f>AV30/AV31</f>
        <v>172.67287234042553</v>
      </c>
      <c r="AW33" s="13">
        <f>AW30/AW31</f>
        <v>97.657608695652172</v>
      </c>
      <c r="AX33" s="13">
        <f>AX30/AX31</f>
        <v>218.50191570881225</v>
      </c>
      <c r="AY33" s="32">
        <f t="shared" si="36"/>
        <v>566.94852038732938</v>
      </c>
      <c r="AZ33" s="32">
        <f t="shared" si="37"/>
        <v>141.73713009683235</v>
      </c>
    </row>
    <row r="34" spans="1:52" ht="30">
      <c r="A34" s="2" t="s">
        <v>110</v>
      </c>
      <c r="B34" s="1" t="s">
        <v>111</v>
      </c>
      <c r="C34" s="40" t="s">
        <v>112</v>
      </c>
      <c r="D34" s="40" t="s">
        <v>113</v>
      </c>
      <c r="E34" s="40" t="s">
        <v>112</v>
      </c>
      <c r="F34" s="52" t="s">
        <v>114</v>
      </c>
      <c r="G34" s="40" t="s">
        <v>112</v>
      </c>
      <c r="H34" s="39">
        <f t="shared" si="38"/>
        <v>0</v>
      </c>
      <c r="I34" s="39">
        <f t="shared" si="39"/>
        <v>0</v>
      </c>
      <c r="J34" s="4" t="s">
        <v>113</v>
      </c>
      <c r="K34" s="4" t="s">
        <v>113</v>
      </c>
      <c r="L34" s="32">
        <f t="shared" si="26"/>
        <v>0</v>
      </c>
      <c r="M34" s="32">
        <f t="shared" si="27"/>
        <v>0</v>
      </c>
      <c r="N34" s="52" t="s">
        <v>115</v>
      </c>
      <c r="O34" s="52" t="s">
        <v>115</v>
      </c>
      <c r="P34" s="52" t="s">
        <v>115</v>
      </c>
      <c r="Q34" s="40" t="s">
        <v>113</v>
      </c>
      <c r="R34" s="52" t="s">
        <v>115</v>
      </c>
      <c r="S34" s="39">
        <f t="shared" si="25"/>
        <v>0</v>
      </c>
      <c r="T34" s="39">
        <f t="shared" si="22"/>
        <v>0</v>
      </c>
      <c r="U34" s="52" t="s">
        <v>115</v>
      </c>
      <c r="V34" s="52" t="s">
        <v>115</v>
      </c>
      <c r="W34" s="52" t="s">
        <v>115</v>
      </c>
      <c r="X34" s="4" t="s">
        <v>112</v>
      </c>
      <c r="Y34" s="32">
        <f t="shared" si="28"/>
        <v>0</v>
      </c>
      <c r="Z34" s="32">
        <f t="shared" si="29"/>
        <v>0</v>
      </c>
      <c r="AA34" s="40" t="s">
        <v>116</v>
      </c>
      <c r="AB34" s="40" t="s">
        <v>113</v>
      </c>
      <c r="AC34" s="40" t="s">
        <v>113</v>
      </c>
      <c r="AD34" s="40" t="s">
        <v>113</v>
      </c>
      <c r="AE34" s="39">
        <f t="shared" si="30"/>
        <v>0</v>
      </c>
      <c r="AF34" s="39">
        <f t="shared" si="31"/>
        <v>0</v>
      </c>
      <c r="AG34" s="22" t="s">
        <v>116</v>
      </c>
      <c r="AH34" s="4" t="s">
        <v>113</v>
      </c>
      <c r="AI34" s="14" t="s">
        <v>114</v>
      </c>
      <c r="AJ34" s="4" t="s">
        <v>112</v>
      </c>
      <c r="AK34" s="4" t="s">
        <v>112</v>
      </c>
      <c r="AL34" s="4" t="s">
        <v>113</v>
      </c>
      <c r="AM34" s="32">
        <f t="shared" si="32"/>
        <v>0</v>
      </c>
      <c r="AN34" s="32">
        <f t="shared" si="33"/>
        <v>0</v>
      </c>
      <c r="AO34" s="40" t="s">
        <v>113</v>
      </c>
      <c r="AP34" s="40" t="s">
        <v>113</v>
      </c>
      <c r="AQ34" s="40" t="s">
        <v>113</v>
      </c>
      <c r="AR34" s="40" t="s">
        <v>113</v>
      </c>
      <c r="AS34" s="39">
        <f t="shared" si="34"/>
        <v>0</v>
      </c>
      <c r="AT34" s="39">
        <f t="shared" si="35"/>
        <v>0</v>
      </c>
      <c r="AU34" s="14" t="s">
        <v>115</v>
      </c>
      <c r="AV34" s="4" t="s">
        <v>112</v>
      </c>
      <c r="AW34" s="4" t="s">
        <v>112</v>
      </c>
      <c r="AX34" s="4" t="s">
        <v>112</v>
      </c>
      <c r="AY34" s="32">
        <f t="shared" si="36"/>
        <v>0</v>
      </c>
      <c r="AZ34" s="32">
        <f t="shared" si="37"/>
        <v>0</v>
      </c>
    </row>
    <row r="35" spans="1:52" ht="28.5">
      <c r="A35" s="2" t="s">
        <v>117</v>
      </c>
      <c r="B35" s="1" t="s">
        <v>118</v>
      </c>
      <c r="C35" s="46">
        <f>C27/C6</f>
        <v>405.875</v>
      </c>
      <c r="D35" s="46">
        <f>D27/D6</f>
        <v>150</v>
      </c>
      <c r="E35" s="46">
        <f>E27/E6</f>
        <v>171.83333333333334</v>
      </c>
      <c r="F35" s="46">
        <f>F27/F6</f>
        <v>110.76923076923077</v>
      </c>
      <c r="G35" s="46">
        <f>G27/G6</f>
        <v>189.3</v>
      </c>
      <c r="H35" s="39">
        <f t="shared" si="38"/>
        <v>1027.7775641025642</v>
      </c>
      <c r="I35" s="39">
        <f t="shared" si="39"/>
        <v>205.55551282051283</v>
      </c>
      <c r="J35" s="13">
        <f>J27/J6</f>
        <v>261</v>
      </c>
      <c r="K35" s="13">
        <f>K27/K6</f>
        <v>70.666666666666671</v>
      </c>
      <c r="L35" s="32">
        <f t="shared" si="26"/>
        <v>331.66666666666669</v>
      </c>
      <c r="M35" s="32">
        <f t="shared" si="27"/>
        <v>165.83333333333334</v>
      </c>
      <c r="N35" s="46">
        <f>N27/N6</f>
        <v>46.296296296296298</v>
      </c>
      <c r="O35" s="46">
        <f>O27/O6</f>
        <v>63.25</v>
      </c>
      <c r="P35" s="46">
        <f>P27/P6</f>
        <v>32.888888888888886</v>
      </c>
      <c r="Q35" s="46">
        <f>Q27/Q6</f>
        <v>48.648648648648646</v>
      </c>
      <c r="R35" s="46">
        <f>R27/R6</f>
        <v>36.83050847457627</v>
      </c>
      <c r="S35" s="39">
        <f t="shared" si="25"/>
        <v>227.91434230841011</v>
      </c>
      <c r="T35" s="39">
        <f t="shared" si="22"/>
        <v>45.582868461682025</v>
      </c>
      <c r="U35" s="13">
        <f>U27/U6</f>
        <v>62.692307692307693</v>
      </c>
      <c r="V35" s="13">
        <f>V27/V6</f>
        <v>38.723404255319146</v>
      </c>
      <c r="W35" s="13">
        <f>W27/W6</f>
        <v>75.609756097560975</v>
      </c>
      <c r="X35" s="13">
        <f>X27/X6</f>
        <v>50.270833333333336</v>
      </c>
      <c r="Y35" s="32">
        <f t="shared" si="28"/>
        <v>227.29630137852118</v>
      </c>
      <c r="Z35" s="32">
        <f t="shared" si="29"/>
        <v>56.824075344630295</v>
      </c>
      <c r="AA35" s="46">
        <f>AA27/AA6</f>
        <v>65.957446808510639</v>
      </c>
      <c r="AB35" s="46">
        <f>AB27/AB6</f>
        <v>32</v>
      </c>
      <c r="AC35" s="46">
        <f>AC27/AC6</f>
        <v>57.142857142857146</v>
      </c>
      <c r="AD35" s="46">
        <f>AD27/AD6</f>
        <v>82.275862068965523</v>
      </c>
      <c r="AE35" s="39">
        <f t="shared" si="30"/>
        <v>237.3761660203333</v>
      </c>
      <c r="AF35" s="39">
        <f t="shared" si="31"/>
        <v>59.344041505083325</v>
      </c>
      <c r="AG35" s="13">
        <f t="shared" ref="AG35:AL35" si="42">AG27/AG6</f>
        <v>72.92</v>
      </c>
      <c r="AH35" s="13">
        <f t="shared" si="42"/>
        <v>40.144444444444446</v>
      </c>
      <c r="AI35" s="13">
        <f t="shared" si="42"/>
        <v>41.842105263157897</v>
      </c>
      <c r="AJ35" s="13">
        <f t="shared" si="42"/>
        <v>32.217391304347828</v>
      </c>
      <c r="AK35" s="13">
        <f t="shared" si="42"/>
        <v>42.857142857142854</v>
      </c>
      <c r="AL35" s="13">
        <f t="shared" si="42"/>
        <v>30.193181818181817</v>
      </c>
      <c r="AM35" s="32">
        <f t="shared" si="32"/>
        <v>260.1742656872749</v>
      </c>
      <c r="AN35" s="32">
        <f t="shared" si="33"/>
        <v>43.362377614545814</v>
      </c>
      <c r="AO35" s="46">
        <f>AO27/AO6</f>
        <v>70.886792452830193</v>
      </c>
      <c r="AP35" s="46">
        <f>AP27/AP6</f>
        <v>37.119999999999997</v>
      </c>
      <c r="AQ35" s="46">
        <f>AQ27/AQ6</f>
        <v>76.759259259259252</v>
      </c>
      <c r="AR35" s="46">
        <f>AR27/AR6</f>
        <v>45.333333333333336</v>
      </c>
      <c r="AS35" s="39">
        <f t="shared" si="34"/>
        <v>230.09938504542279</v>
      </c>
      <c r="AT35" s="39">
        <f t="shared" si="35"/>
        <v>57.524846261355698</v>
      </c>
      <c r="AU35" s="13">
        <f>AU27/AU6</f>
        <v>50.446428571428569</v>
      </c>
      <c r="AV35" s="13">
        <f>AV27/AV6</f>
        <v>24.969696969696969</v>
      </c>
      <c r="AW35" s="13">
        <f>AW27/AW6</f>
        <v>52.941176470588232</v>
      </c>
      <c r="AX35" s="13">
        <f>AX27/AX6</f>
        <v>40</v>
      </c>
      <c r="AY35" s="32">
        <f t="shared" si="36"/>
        <v>168.35730201171378</v>
      </c>
      <c r="AZ35" s="32">
        <f t="shared" si="37"/>
        <v>42.089325502928446</v>
      </c>
    </row>
    <row r="37" spans="1:52">
      <c r="A37" s="7"/>
    </row>
  </sheetData>
  <mergeCells count="8">
    <mergeCell ref="AU1:AZ1"/>
    <mergeCell ref="N1:T1"/>
    <mergeCell ref="J1:M1"/>
    <mergeCell ref="C1:I1"/>
    <mergeCell ref="U1:Z1"/>
    <mergeCell ref="AA1:AF1"/>
    <mergeCell ref="AG1:AN1"/>
    <mergeCell ref="AO1:AT1"/>
  </mergeCells>
  <phoneticPr fontId="8" type="noConversion"/>
  <pageMargins left="0.7" right="0.7" top="0.75" bottom="0.75" header="0.3" footer="0.3"/>
  <pageSetup paperSize="8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F922-73F7-46FA-B0BB-8A26B262199C}">
  <dimension ref="A1:BG46"/>
  <sheetViews>
    <sheetView tabSelected="1" zoomScale="90" zoomScaleNormal="90" workbookViewId="0">
      <pane xSplit="1" ySplit="2" topLeftCell="B16" activePane="bottomRight" state="frozen"/>
      <selection pane="bottomRight" activeCell="J20" sqref="J20"/>
      <selection pane="bottomLeft" activeCell="A4" sqref="A4"/>
      <selection pane="topRight" activeCell="B1" sqref="B1"/>
    </sheetView>
  </sheetViews>
  <sheetFormatPr defaultColWidth="11.42578125" defaultRowHeight="15" customHeight="1"/>
  <cols>
    <col min="1" max="1" width="27.28515625" customWidth="1"/>
    <col min="2" max="2" width="41.7109375" customWidth="1"/>
    <col min="3" max="5" width="16.5703125" style="47" customWidth="1"/>
    <col min="6" max="6" width="17" style="47" customWidth="1"/>
    <col min="7" max="9" width="16.5703125" style="47" customWidth="1"/>
    <col min="10" max="10" width="17.28515625" style="48" customWidth="1"/>
    <col min="11" max="11" width="16.140625" style="56" customWidth="1"/>
    <col min="12" max="12" width="18.7109375" customWidth="1"/>
    <col min="13" max="14" width="18.42578125" customWidth="1"/>
    <col min="15" max="15" width="17.5703125" customWidth="1"/>
    <col min="16" max="16" width="18.42578125" customWidth="1"/>
    <col min="17" max="21" width="15.85546875" customWidth="1"/>
    <col min="22" max="22" width="17.85546875" style="47" customWidth="1"/>
    <col min="23" max="23" width="15.85546875" style="47" customWidth="1"/>
    <col min="24" max="24" width="17.42578125" style="47" customWidth="1"/>
    <col min="25" max="26" width="16.140625" style="48" customWidth="1"/>
    <col min="27" max="28" width="16.28515625" style="57" bestFit="1" customWidth="1"/>
    <col min="29" max="29" width="16.140625" style="57" bestFit="1" customWidth="1"/>
    <col min="30" max="30" width="16.85546875" style="57" bestFit="1" customWidth="1"/>
    <col min="31" max="31" width="17.5703125" style="57" customWidth="1"/>
    <col min="32" max="32" width="16.140625" style="57" customWidth="1"/>
    <col min="33" max="33" width="16.85546875" style="47" customWidth="1"/>
    <col min="34" max="35" width="15.7109375" style="47" customWidth="1"/>
    <col min="36" max="36" width="17.140625" style="47" customWidth="1"/>
    <col min="37" max="38" width="16.140625" style="47" customWidth="1"/>
    <col min="39" max="39" width="16.140625" customWidth="1"/>
    <col min="40" max="40" width="15.7109375" customWidth="1"/>
    <col min="41" max="41" width="16.85546875" customWidth="1"/>
    <col min="42" max="43" width="16.140625" bestFit="1" customWidth="1"/>
    <col min="44" max="45" width="16.140625" customWidth="1"/>
    <col min="46" max="48" width="16.140625" style="47" bestFit="1" customWidth="1"/>
    <col min="49" max="49" width="18.42578125" style="47" customWidth="1"/>
    <col min="50" max="50" width="16.85546875" style="47" customWidth="1"/>
    <col min="51" max="51" width="16.140625" style="47" bestFit="1" customWidth="1"/>
    <col min="52" max="52" width="17.42578125" style="47" customWidth="1"/>
    <col min="53" max="53" width="16.140625" style="47" customWidth="1"/>
    <col min="54" max="56" width="16.28515625" bestFit="1" customWidth="1"/>
    <col min="57" max="58" width="16.140625" customWidth="1"/>
  </cols>
  <sheetData>
    <row r="1" spans="1:59" ht="30.75" customHeight="1">
      <c r="A1" s="192" t="s">
        <v>119</v>
      </c>
      <c r="B1" s="193"/>
      <c r="C1" s="197" t="s">
        <v>120</v>
      </c>
      <c r="D1" s="194"/>
      <c r="E1" s="194"/>
      <c r="F1" s="194"/>
      <c r="G1" s="194"/>
      <c r="H1" s="194"/>
      <c r="I1" s="194"/>
      <c r="J1" s="194"/>
      <c r="K1" s="194"/>
      <c r="L1" s="200" t="s">
        <v>121</v>
      </c>
      <c r="M1" s="200"/>
      <c r="N1" s="200"/>
      <c r="O1" s="200"/>
      <c r="P1" s="200"/>
      <c r="Q1" s="200"/>
      <c r="R1" s="200"/>
      <c r="S1" s="200"/>
      <c r="T1" s="200"/>
      <c r="U1" s="200"/>
      <c r="V1" s="199" t="s">
        <v>122</v>
      </c>
      <c r="W1" s="199"/>
      <c r="X1" s="199"/>
      <c r="Y1" s="199"/>
      <c r="Z1" s="199"/>
      <c r="AA1" s="198" t="s">
        <v>123</v>
      </c>
      <c r="AB1" s="198"/>
      <c r="AC1" s="198"/>
      <c r="AD1" s="198"/>
      <c r="AE1" s="198"/>
      <c r="AF1" s="198"/>
      <c r="AG1" s="199" t="s">
        <v>124</v>
      </c>
      <c r="AH1" s="199"/>
      <c r="AI1" s="199"/>
      <c r="AJ1" s="199"/>
      <c r="AK1" s="199"/>
      <c r="AL1" s="199"/>
      <c r="AM1" s="200" t="s">
        <v>125</v>
      </c>
      <c r="AN1" s="200"/>
      <c r="AO1" s="200"/>
      <c r="AP1" s="200"/>
      <c r="AQ1" s="200"/>
      <c r="AR1" s="200"/>
      <c r="AS1" s="200"/>
      <c r="AT1" s="194" t="s">
        <v>126</v>
      </c>
      <c r="AU1" s="194"/>
      <c r="AV1" s="194"/>
      <c r="AW1" s="194"/>
      <c r="AX1" s="194"/>
      <c r="AY1" s="194"/>
      <c r="AZ1" s="194"/>
      <c r="BA1" s="194"/>
      <c r="BB1" s="195" t="s">
        <v>127</v>
      </c>
      <c r="BC1" s="195"/>
      <c r="BD1" s="195"/>
      <c r="BE1" s="195"/>
      <c r="BF1" s="196"/>
    </row>
    <row r="2" spans="1:59" ht="45.75" thickBot="1">
      <c r="A2" s="123" t="s">
        <v>9</v>
      </c>
      <c r="B2" s="157" t="s">
        <v>10</v>
      </c>
      <c r="C2" s="143" t="s">
        <v>128</v>
      </c>
      <c r="D2" s="124" t="s">
        <v>129</v>
      </c>
      <c r="E2" s="125" t="s">
        <v>130</v>
      </c>
      <c r="F2" s="125" t="s">
        <v>131</v>
      </c>
      <c r="G2" s="124" t="s">
        <v>132</v>
      </c>
      <c r="H2" s="124" t="s">
        <v>133</v>
      </c>
      <c r="I2" s="124" t="s">
        <v>134</v>
      </c>
      <c r="J2" s="126" t="s">
        <v>135</v>
      </c>
      <c r="K2" s="127" t="s">
        <v>136</v>
      </c>
      <c r="L2" s="128" t="s">
        <v>137</v>
      </c>
      <c r="M2" s="128" t="s">
        <v>14</v>
      </c>
      <c r="N2" s="128" t="s">
        <v>138</v>
      </c>
      <c r="O2" s="128" t="s">
        <v>12</v>
      </c>
      <c r="P2" s="128" t="s">
        <v>13</v>
      </c>
      <c r="Q2" s="128" t="s">
        <v>11</v>
      </c>
      <c r="R2" s="129" t="s">
        <v>139</v>
      </c>
      <c r="S2" s="128" t="s">
        <v>140</v>
      </c>
      <c r="T2" s="130" t="s">
        <v>135</v>
      </c>
      <c r="U2" s="131" t="s">
        <v>141</v>
      </c>
      <c r="V2" s="124" t="s">
        <v>18</v>
      </c>
      <c r="W2" s="124" t="s">
        <v>19</v>
      </c>
      <c r="X2" s="124" t="s">
        <v>142</v>
      </c>
      <c r="Y2" s="126" t="s">
        <v>135</v>
      </c>
      <c r="Z2" s="132" t="s">
        <v>143</v>
      </c>
      <c r="AA2" s="133" t="s">
        <v>45</v>
      </c>
      <c r="AB2" s="133" t="s">
        <v>44</v>
      </c>
      <c r="AC2" s="133" t="s">
        <v>144</v>
      </c>
      <c r="AD2" s="133" t="s">
        <v>46</v>
      </c>
      <c r="AE2" s="134" t="s">
        <v>135</v>
      </c>
      <c r="AF2" s="135" t="s">
        <v>145</v>
      </c>
      <c r="AG2" s="124" t="s">
        <v>52</v>
      </c>
      <c r="AH2" s="124" t="s">
        <v>146</v>
      </c>
      <c r="AI2" s="124" t="s">
        <v>51</v>
      </c>
      <c r="AJ2" s="124" t="s">
        <v>147</v>
      </c>
      <c r="AK2" s="124" t="s">
        <v>16</v>
      </c>
      <c r="AL2" s="136" t="s">
        <v>148</v>
      </c>
      <c r="AM2" s="128" t="s">
        <v>149</v>
      </c>
      <c r="AN2" s="128" t="s">
        <v>150</v>
      </c>
      <c r="AO2" s="128" t="s">
        <v>151</v>
      </c>
      <c r="AP2" s="128" t="s">
        <v>27</v>
      </c>
      <c r="AQ2" s="128" t="s">
        <v>152</v>
      </c>
      <c r="AR2" s="137" t="s">
        <v>135</v>
      </c>
      <c r="AS2" s="138" t="s">
        <v>153</v>
      </c>
      <c r="AT2" s="124" t="s">
        <v>154</v>
      </c>
      <c r="AU2" s="124" t="s">
        <v>155</v>
      </c>
      <c r="AV2" s="124" t="s">
        <v>156</v>
      </c>
      <c r="AW2" s="124" t="s">
        <v>157</v>
      </c>
      <c r="AX2" s="125" t="s">
        <v>158</v>
      </c>
      <c r="AY2" s="124" t="s">
        <v>159</v>
      </c>
      <c r="AZ2" s="139" t="s">
        <v>135</v>
      </c>
      <c r="BA2" s="140" t="s">
        <v>160</v>
      </c>
      <c r="BB2" s="128" t="s">
        <v>161</v>
      </c>
      <c r="BC2" s="128" t="s">
        <v>34</v>
      </c>
      <c r="BD2" s="128" t="s">
        <v>162</v>
      </c>
      <c r="BE2" s="141" t="s">
        <v>135</v>
      </c>
      <c r="BF2" s="142" t="s">
        <v>163</v>
      </c>
    </row>
    <row r="3" spans="1:59" ht="19.899999999999999" customHeight="1">
      <c r="A3" s="21" t="s">
        <v>164</v>
      </c>
      <c r="B3" s="158"/>
      <c r="C3" s="144"/>
      <c r="D3" s="116"/>
      <c r="E3" s="116"/>
      <c r="F3" s="116"/>
      <c r="G3" s="117"/>
      <c r="H3" s="117"/>
      <c r="I3" s="117"/>
      <c r="J3" s="118"/>
      <c r="K3" s="119"/>
      <c r="L3" s="9"/>
      <c r="M3" s="9"/>
      <c r="N3" s="9"/>
      <c r="O3" s="9"/>
      <c r="P3" s="9"/>
      <c r="Q3" s="9"/>
      <c r="R3" s="9"/>
      <c r="S3" s="9"/>
      <c r="T3" s="120"/>
      <c r="U3" s="120"/>
      <c r="V3" s="117"/>
      <c r="W3" s="117"/>
      <c r="X3" s="117"/>
      <c r="Y3" s="118"/>
      <c r="Z3" s="118"/>
      <c r="AA3" s="121"/>
      <c r="AB3" s="121"/>
      <c r="AC3" s="121"/>
      <c r="AD3" s="121"/>
      <c r="AE3" s="121"/>
      <c r="AF3" s="121"/>
      <c r="AG3" s="117"/>
      <c r="AH3" s="117"/>
      <c r="AI3" s="117"/>
      <c r="AJ3" s="117"/>
      <c r="AK3" s="117"/>
      <c r="AL3" s="117"/>
      <c r="AM3" s="9"/>
      <c r="AN3" s="9"/>
      <c r="AO3" s="9"/>
      <c r="AP3" s="9"/>
      <c r="AQ3" s="9"/>
      <c r="AR3" s="9"/>
      <c r="AS3" s="9"/>
      <c r="AT3" s="117"/>
      <c r="AU3" s="117"/>
      <c r="AV3" s="117"/>
      <c r="AW3" s="117"/>
      <c r="AX3" s="117"/>
      <c r="AY3" s="117"/>
      <c r="AZ3" s="117"/>
      <c r="BA3" s="117"/>
      <c r="BB3" s="9"/>
      <c r="BC3" s="9"/>
      <c r="BD3" s="9"/>
      <c r="BE3" s="9"/>
      <c r="BF3" s="122"/>
    </row>
    <row r="4" spans="1:59" ht="30">
      <c r="A4" s="8" t="s">
        <v>165</v>
      </c>
      <c r="B4" s="159" t="s">
        <v>166</v>
      </c>
      <c r="C4" s="145">
        <v>490</v>
      </c>
      <c r="D4" s="90">
        <v>350</v>
      </c>
      <c r="E4" s="90">
        <v>380</v>
      </c>
      <c r="F4" s="90">
        <v>630</v>
      </c>
      <c r="G4" s="58">
        <v>224</v>
      </c>
      <c r="H4" s="58">
        <v>225</v>
      </c>
      <c r="I4" s="58">
        <v>310</v>
      </c>
      <c r="J4" s="60">
        <f>SUM(C4:I4)-F4</f>
        <v>1979</v>
      </c>
      <c r="K4" s="60">
        <f>J4/6</f>
        <v>329.83333333333331</v>
      </c>
      <c r="L4" s="61">
        <v>90</v>
      </c>
      <c r="M4" s="61">
        <v>70</v>
      </c>
      <c r="N4" s="61"/>
      <c r="O4" s="61">
        <v>100</v>
      </c>
      <c r="P4" s="61">
        <v>80</v>
      </c>
      <c r="Q4" s="61">
        <v>60</v>
      </c>
      <c r="R4" s="61"/>
      <c r="S4" s="61">
        <v>100</v>
      </c>
      <c r="T4" s="62">
        <f>SUM(L4:S4)</f>
        <v>500</v>
      </c>
      <c r="U4" s="62">
        <f>T4/5</f>
        <v>100</v>
      </c>
      <c r="V4" s="58">
        <v>60</v>
      </c>
      <c r="W4" s="58">
        <v>90</v>
      </c>
      <c r="X4" s="58">
        <v>250</v>
      </c>
      <c r="Y4" s="60">
        <f>SUM(V4:X4)</f>
        <v>400</v>
      </c>
      <c r="Z4" s="60">
        <f>Y4/9</f>
        <v>44.444444444444443</v>
      </c>
      <c r="AA4" s="63">
        <v>380</v>
      </c>
      <c r="AB4" s="63">
        <v>333</v>
      </c>
      <c r="AC4" s="63">
        <v>300</v>
      </c>
      <c r="AD4" s="63">
        <v>380</v>
      </c>
      <c r="AE4" s="64">
        <f>SUM(AA4:AD4)</f>
        <v>1393</v>
      </c>
      <c r="AF4" s="64">
        <f>AE4/4</f>
        <v>348.25</v>
      </c>
      <c r="AG4" s="58">
        <v>420</v>
      </c>
      <c r="AH4" s="58">
        <v>620</v>
      </c>
      <c r="AI4" s="58">
        <v>525</v>
      </c>
      <c r="AJ4" s="58">
        <v>540</v>
      </c>
      <c r="AK4" s="65">
        <f>SUM(AG4:AJ4)-AH4</f>
        <v>1485</v>
      </c>
      <c r="AL4" s="65">
        <f>AK4/3</f>
        <v>495</v>
      </c>
      <c r="AM4" s="61">
        <v>490</v>
      </c>
      <c r="AN4" s="61">
        <v>364</v>
      </c>
      <c r="AO4" s="61">
        <v>380</v>
      </c>
      <c r="AP4" s="61">
        <v>350</v>
      </c>
      <c r="AQ4" s="61">
        <v>550</v>
      </c>
      <c r="AR4" s="66">
        <f>SUM(AM4:AQ4)</f>
        <v>2134</v>
      </c>
      <c r="AS4" s="66">
        <f>AR4/5</f>
        <v>426.8</v>
      </c>
      <c r="AT4" s="58">
        <v>420</v>
      </c>
      <c r="AU4" s="58">
        <v>450</v>
      </c>
      <c r="AV4" s="58">
        <v>380</v>
      </c>
      <c r="AW4" s="58">
        <v>380</v>
      </c>
      <c r="AX4" s="58">
        <v>310</v>
      </c>
      <c r="AY4" s="58">
        <v>540</v>
      </c>
      <c r="AZ4" s="60">
        <f>SUM(AT4:AY4)-AX4</f>
        <v>2170</v>
      </c>
      <c r="BA4" s="60">
        <f>AZ4/5</f>
        <v>434</v>
      </c>
      <c r="BB4" s="61">
        <v>300</v>
      </c>
      <c r="BC4" s="61">
        <v>325</v>
      </c>
      <c r="BD4" s="61">
        <v>360</v>
      </c>
      <c r="BE4" s="66">
        <f>SUM(BB4:BD4)</f>
        <v>985</v>
      </c>
      <c r="BF4" s="85">
        <f>BE4/3</f>
        <v>328.33333333333331</v>
      </c>
    </row>
    <row r="5" spans="1:59" ht="28.5">
      <c r="A5" s="2" t="s">
        <v>167</v>
      </c>
      <c r="B5" s="160" t="s">
        <v>168</v>
      </c>
      <c r="C5" s="146">
        <v>347</v>
      </c>
      <c r="D5" s="58">
        <v>277</v>
      </c>
      <c r="E5" s="58">
        <v>378</v>
      </c>
      <c r="F5" s="58"/>
      <c r="G5" s="58">
        <v>117</v>
      </c>
      <c r="H5" s="58">
        <v>178</v>
      </c>
      <c r="I5" s="58">
        <v>195</v>
      </c>
      <c r="J5" s="60">
        <f>SUM(C5:I5)-F5</f>
        <v>1492</v>
      </c>
      <c r="K5" s="60">
        <f>J5/6</f>
        <v>248.66666666666666</v>
      </c>
      <c r="L5" s="61">
        <v>36</v>
      </c>
      <c r="M5" s="61">
        <v>18</v>
      </c>
      <c r="N5" s="61">
        <v>90</v>
      </c>
      <c r="O5" s="61">
        <v>72</v>
      </c>
      <c r="P5" s="61">
        <v>27</v>
      </c>
      <c r="Q5" s="61">
        <v>11</v>
      </c>
      <c r="R5" s="61">
        <f>Q5+S5</f>
        <v>66</v>
      </c>
      <c r="S5" s="61">
        <v>55</v>
      </c>
      <c r="T5" s="62">
        <f>L5+M5+O5+P5+Q5+S5</f>
        <v>219</v>
      </c>
      <c r="U5" s="62">
        <f>T5/5</f>
        <v>43.8</v>
      </c>
      <c r="V5" s="58">
        <v>14</v>
      </c>
      <c r="W5" s="58">
        <v>45</v>
      </c>
      <c r="X5" s="58">
        <v>126</v>
      </c>
      <c r="Y5" s="60">
        <f>SUM(V5:X5)</f>
        <v>185</v>
      </c>
      <c r="Z5" s="60">
        <f t="shared" ref="Z5:Z35" si="0">Y5/9</f>
        <v>20.555555555555557</v>
      </c>
      <c r="AA5" s="63">
        <v>281</v>
      </c>
      <c r="AB5" s="63">
        <v>279</v>
      </c>
      <c r="AC5" s="63">
        <v>191</v>
      </c>
      <c r="AD5" s="63">
        <v>236</v>
      </c>
      <c r="AE5" s="67">
        <f>SUM(AA5:AD5)</f>
        <v>987</v>
      </c>
      <c r="AF5" s="64">
        <f t="shared" ref="AF5:AF32" si="1">AE5/4</f>
        <v>246.75</v>
      </c>
      <c r="AG5" s="58">
        <v>392</v>
      </c>
      <c r="AH5" s="58"/>
      <c r="AI5" s="58">
        <v>365</v>
      </c>
      <c r="AJ5" s="58">
        <v>432</v>
      </c>
      <c r="AK5" s="65">
        <f t="shared" ref="AK5:AK35" si="2">SUM(AG5:AJ5)-AH5</f>
        <v>1189</v>
      </c>
      <c r="AL5" s="65">
        <f t="shared" ref="AL5:AL35" si="3">AK5/3</f>
        <v>396.33333333333331</v>
      </c>
      <c r="AM5" s="61">
        <v>201</v>
      </c>
      <c r="AN5" s="61">
        <v>246</v>
      </c>
      <c r="AO5" s="61">
        <v>180</v>
      </c>
      <c r="AP5" s="61">
        <v>184</v>
      </c>
      <c r="AQ5" s="61">
        <v>413</v>
      </c>
      <c r="AR5" s="66">
        <f t="shared" ref="AR5:AR35" si="4">SUM(AM5:AQ5)</f>
        <v>1224</v>
      </c>
      <c r="AS5" s="66">
        <f t="shared" ref="AS5:AS37" si="5">AR5/5</f>
        <v>244.8</v>
      </c>
      <c r="AT5" s="58">
        <v>302</v>
      </c>
      <c r="AU5" s="58">
        <v>325</v>
      </c>
      <c r="AV5" s="58">
        <v>285</v>
      </c>
      <c r="AW5" s="58">
        <v>340</v>
      </c>
      <c r="AX5" s="58"/>
      <c r="AY5" s="58">
        <v>477</v>
      </c>
      <c r="AZ5" s="60">
        <f>SUM(AT5:AY5)</f>
        <v>1729</v>
      </c>
      <c r="BA5" s="60">
        <f t="shared" ref="BA5:BA35" si="6">AZ5/5</f>
        <v>345.8</v>
      </c>
      <c r="BB5" s="61">
        <v>247</v>
      </c>
      <c r="BC5" s="61">
        <v>200</v>
      </c>
      <c r="BD5" s="61">
        <v>267</v>
      </c>
      <c r="BE5" s="66">
        <f t="shared" ref="BE5:BE35" si="7">SUM(BB5:BD5)</f>
        <v>714</v>
      </c>
      <c r="BF5" s="85">
        <f t="shared" ref="BF5:BF35" si="8">BE5/3</f>
        <v>238</v>
      </c>
    </row>
    <row r="6" spans="1:59" s="3" customFormat="1">
      <c r="A6" s="2" t="s">
        <v>169</v>
      </c>
      <c r="B6" s="160" t="s">
        <v>170</v>
      </c>
      <c r="C6" s="147">
        <f>C5/C4</f>
        <v>0.7081632653061225</v>
      </c>
      <c r="D6" s="68">
        <f t="shared" ref="D6:BD6" si="9">D5/D4</f>
        <v>0.79142857142857148</v>
      </c>
      <c r="E6" s="68">
        <f t="shared" si="9"/>
        <v>0.99473684210526314</v>
      </c>
      <c r="F6" s="68">
        <f t="shared" si="9"/>
        <v>0</v>
      </c>
      <c r="G6" s="68">
        <f t="shared" si="9"/>
        <v>0.5223214285714286</v>
      </c>
      <c r="H6" s="68">
        <f t="shared" si="9"/>
        <v>0.7911111111111111</v>
      </c>
      <c r="I6" s="68">
        <f t="shared" si="9"/>
        <v>0.62903225806451613</v>
      </c>
      <c r="J6" s="68">
        <f t="shared" si="9"/>
        <v>0.75391611925214752</v>
      </c>
      <c r="K6" s="70"/>
      <c r="L6" s="71" t="s">
        <v>171</v>
      </c>
      <c r="M6" s="71">
        <f t="shared" si="9"/>
        <v>0.25714285714285712</v>
      </c>
      <c r="N6" s="71"/>
      <c r="O6" s="71">
        <f t="shared" si="9"/>
        <v>0.72</v>
      </c>
      <c r="P6" s="71">
        <f t="shared" si="9"/>
        <v>0.33750000000000002</v>
      </c>
      <c r="Q6" s="71"/>
      <c r="R6" s="71"/>
      <c r="S6" s="71">
        <f>S5/S4</f>
        <v>0.55000000000000004</v>
      </c>
      <c r="T6" s="71">
        <f>T5/T4</f>
        <v>0.438</v>
      </c>
      <c r="U6" s="71">
        <f>U5/U4</f>
        <v>0.43799999999999994</v>
      </c>
      <c r="V6" s="68">
        <f>V5/V4</f>
        <v>0.23333333333333334</v>
      </c>
      <c r="W6" s="68">
        <f t="shared" si="9"/>
        <v>0.5</v>
      </c>
      <c r="X6" s="68">
        <f t="shared" si="9"/>
        <v>0.504</v>
      </c>
      <c r="Y6" s="68">
        <f t="shared" si="9"/>
        <v>0.46250000000000002</v>
      </c>
      <c r="Z6" s="68">
        <f t="shared" si="9"/>
        <v>0.46250000000000008</v>
      </c>
      <c r="AA6" s="72">
        <f t="shared" si="9"/>
        <v>0.73947368421052628</v>
      </c>
      <c r="AB6" s="72">
        <f t="shared" si="9"/>
        <v>0.83783783783783783</v>
      </c>
      <c r="AC6" s="72">
        <f t="shared" si="9"/>
        <v>0.63666666666666671</v>
      </c>
      <c r="AD6" s="72">
        <f t="shared" si="9"/>
        <v>0.62105263157894741</v>
      </c>
      <c r="AE6" s="67">
        <f t="shared" ref="AE6:AE37" si="10">SUM(AA6:AD6)</f>
        <v>2.8350308202939782</v>
      </c>
      <c r="AF6" s="64">
        <f t="shared" si="1"/>
        <v>0.70875770507349456</v>
      </c>
      <c r="AG6" s="68">
        <f t="shared" si="9"/>
        <v>0.93333333333333335</v>
      </c>
      <c r="AH6" s="68">
        <f t="shared" si="9"/>
        <v>0</v>
      </c>
      <c r="AI6" s="68">
        <f t="shared" si="9"/>
        <v>0.69523809523809521</v>
      </c>
      <c r="AJ6" s="68">
        <f t="shared" si="9"/>
        <v>0.8</v>
      </c>
      <c r="AK6" s="65">
        <f t="shared" si="2"/>
        <v>2.4285714285714288</v>
      </c>
      <c r="AL6" s="65">
        <f t="shared" si="3"/>
        <v>0.80952380952380965</v>
      </c>
      <c r="AM6" s="71">
        <f t="shared" si="9"/>
        <v>0.41020408163265304</v>
      </c>
      <c r="AN6" s="71">
        <f t="shared" si="9"/>
        <v>0.67582417582417587</v>
      </c>
      <c r="AO6" s="71">
        <f t="shared" si="9"/>
        <v>0.47368421052631576</v>
      </c>
      <c r="AP6" s="71">
        <f t="shared" si="9"/>
        <v>0.52571428571428569</v>
      </c>
      <c r="AQ6" s="71">
        <f t="shared" si="9"/>
        <v>0.75090909090909086</v>
      </c>
      <c r="AR6" s="66">
        <f t="shared" si="4"/>
        <v>2.8363358446065212</v>
      </c>
      <c r="AS6" s="66">
        <f t="shared" si="5"/>
        <v>0.56726716892130424</v>
      </c>
      <c r="AT6" s="68">
        <f t="shared" si="9"/>
        <v>0.71904761904761905</v>
      </c>
      <c r="AU6" s="68">
        <f t="shared" si="9"/>
        <v>0.72222222222222221</v>
      </c>
      <c r="AV6" s="68">
        <f t="shared" si="9"/>
        <v>0.75</v>
      </c>
      <c r="AW6" s="68">
        <f t="shared" si="9"/>
        <v>0.89473684210526316</v>
      </c>
      <c r="AX6" s="68">
        <f t="shared" si="9"/>
        <v>0</v>
      </c>
      <c r="AY6" s="68">
        <f t="shared" si="9"/>
        <v>0.8833333333333333</v>
      </c>
      <c r="AZ6" s="60">
        <f t="shared" ref="AZ6:AZ35" si="11">SUM(AT6:AY6)-AX6</f>
        <v>3.9693400167084381</v>
      </c>
      <c r="BA6" s="60">
        <f t="shared" si="6"/>
        <v>0.79386800334168761</v>
      </c>
      <c r="BB6" s="71">
        <f t="shared" si="9"/>
        <v>0.82333333333333336</v>
      </c>
      <c r="BC6" s="71">
        <f t="shared" si="9"/>
        <v>0.61538461538461542</v>
      </c>
      <c r="BD6" s="71">
        <f t="shared" si="9"/>
        <v>0.7416666666666667</v>
      </c>
      <c r="BE6" s="66">
        <f t="shared" si="7"/>
        <v>2.1803846153846154</v>
      </c>
      <c r="BF6" s="85">
        <f t="shared" si="8"/>
        <v>0.72679487179487179</v>
      </c>
      <c r="BG6"/>
    </row>
    <row r="7" spans="1:59" ht="42.75">
      <c r="A7" s="2" t="s">
        <v>69</v>
      </c>
      <c r="B7" s="160" t="s">
        <v>172</v>
      </c>
      <c r="C7" s="146">
        <v>200</v>
      </c>
      <c r="D7" s="58">
        <v>258</v>
      </c>
      <c r="E7" s="58"/>
      <c r="F7" s="58">
        <v>348</v>
      </c>
      <c r="G7" s="58">
        <v>89</v>
      </c>
      <c r="H7" s="58">
        <v>174</v>
      </c>
      <c r="I7" s="58">
        <v>146</v>
      </c>
      <c r="J7" s="59">
        <f>SUM(C7:I7)-F7</f>
        <v>867</v>
      </c>
      <c r="K7" s="60">
        <f>J7/6</f>
        <v>144.5</v>
      </c>
      <c r="L7" s="61">
        <v>44</v>
      </c>
      <c r="M7" s="61">
        <v>14</v>
      </c>
      <c r="N7" s="61"/>
      <c r="O7" s="61">
        <v>59</v>
      </c>
      <c r="P7" s="61">
        <v>35</v>
      </c>
      <c r="Q7" s="61">
        <v>8</v>
      </c>
      <c r="R7" s="61"/>
      <c r="S7" s="61">
        <v>49</v>
      </c>
      <c r="T7" s="62">
        <f>SUM(L7:S7)-R7</f>
        <v>209</v>
      </c>
      <c r="U7" s="62">
        <f>T7/9</f>
        <v>23.222222222222221</v>
      </c>
      <c r="V7" s="58">
        <v>16</v>
      </c>
      <c r="W7" s="58">
        <v>56</v>
      </c>
      <c r="X7" s="58">
        <v>151</v>
      </c>
      <c r="Y7" s="60">
        <f>SUM(V7:X7)</f>
        <v>223</v>
      </c>
      <c r="Z7" s="60">
        <f t="shared" si="0"/>
        <v>24.777777777777779</v>
      </c>
      <c r="AA7" s="63">
        <v>270</v>
      </c>
      <c r="AB7" s="63">
        <v>265</v>
      </c>
      <c r="AC7" s="63">
        <v>161</v>
      </c>
      <c r="AD7" s="63">
        <v>224</v>
      </c>
      <c r="AE7" s="67">
        <f t="shared" si="10"/>
        <v>920</v>
      </c>
      <c r="AF7" s="64">
        <f t="shared" si="1"/>
        <v>230</v>
      </c>
      <c r="AG7" s="58"/>
      <c r="AH7" s="58">
        <v>375</v>
      </c>
      <c r="AI7" s="58">
        <v>369</v>
      </c>
      <c r="AJ7" s="58">
        <v>385</v>
      </c>
      <c r="AK7" s="65">
        <f t="shared" si="2"/>
        <v>754</v>
      </c>
      <c r="AL7" s="65">
        <f t="shared" si="3"/>
        <v>251.33333333333334</v>
      </c>
      <c r="AM7" s="61">
        <v>219</v>
      </c>
      <c r="AN7" s="61">
        <v>319</v>
      </c>
      <c r="AO7" s="61">
        <v>186</v>
      </c>
      <c r="AP7" s="61">
        <v>191</v>
      </c>
      <c r="AQ7" s="61">
        <v>412</v>
      </c>
      <c r="AR7" s="66">
        <f t="shared" si="4"/>
        <v>1327</v>
      </c>
      <c r="AS7" s="66">
        <f t="shared" si="5"/>
        <v>265.39999999999998</v>
      </c>
      <c r="AT7" s="58">
        <v>291</v>
      </c>
      <c r="AU7" s="58">
        <v>391</v>
      </c>
      <c r="AV7" s="58">
        <v>335</v>
      </c>
      <c r="AW7" s="58">
        <v>332</v>
      </c>
      <c r="AX7" s="58">
        <v>262</v>
      </c>
      <c r="AY7" s="58">
        <v>450</v>
      </c>
      <c r="AZ7" s="60">
        <f t="shared" si="11"/>
        <v>1799</v>
      </c>
      <c r="BA7" s="60">
        <f t="shared" si="6"/>
        <v>359.8</v>
      </c>
      <c r="BB7" s="61">
        <v>229</v>
      </c>
      <c r="BC7" s="61">
        <v>234</v>
      </c>
      <c r="BD7" s="61">
        <v>373</v>
      </c>
      <c r="BE7" s="66">
        <f t="shared" si="7"/>
        <v>836</v>
      </c>
      <c r="BF7" s="85">
        <f t="shared" si="8"/>
        <v>278.66666666666669</v>
      </c>
      <c r="BG7" s="3"/>
    </row>
    <row r="8" spans="1:59" ht="28.5">
      <c r="A8" s="2" t="s">
        <v>173</v>
      </c>
      <c r="B8" s="160"/>
      <c r="C8" s="148">
        <f>C7/C5</f>
        <v>0.57636887608069165</v>
      </c>
      <c r="D8" s="73">
        <f>D7/D5</f>
        <v>0.93140794223826717</v>
      </c>
      <c r="E8" s="73">
        <f>E7/E5</f>
        <v>0</v>
      </c>
      <c r="F8" s="73" t="e">
        <f>F7/F5</f>
        <v>#DIV/0!</v>
      </c>
      <c r="G8" s="73">
        <f>G7/G5</f>
        <v>0.76068376068376065</v>
      </c>
      <c r="H8" s="73"/>
      <c r="I8" s="73">
        <f>I7/I5</f>
        <v>0.74871794871794872</v>
      </c>
      <c r="J8" s="59"/>
      <c r="K8" s="60"/>
      <c r="L8" s="74">
        <f>L7/L5</f>
        <v>1.2222222222222223</v>
      </c>
      <c r="M8" s="74">
        <f>M7/M5</f>
        <v>0.77777777777777779</v>
      </c>
      <c r="N8" s="74"/>
      <c r="O8" s="74">
        <f>O7/O5</f>
        <v>0.81944444444444442</v>
      </c>
      <c r="P8" s="74">
        <f>P7/P5</f>
        <v>1.2962962962962963</v>
      </c>
      <c r="Q8" s="74">
        <f>Q7/Q5</f>
        <v>0.72727272727272729</v>
      </c>
      <c r="R8" s="74"/>
      <c r="S8" s="74">
        <f t="shared" ref="S8:AD8" si="12">S7/S5</f>
        <v>0.89090909090909087</v>
      </c>
      <c r="T8" s="74">
        <f t="shared" si="12"/>
        <v>0.954337899543379</v>
      </c>
      <c r="U8" s="74">
        <f t="shared" si="12"/>
        <v>0.53018772196854391</v>
      </c>
      <c r="V8" s="73">
        <f t="shared" si="12"/>
        <v>1.1428571428571428</v>
      </c>
      <c r="W8" s="73">
        <f t="shared" si="12"/>
        <v>1.2444444444444445</v>
      </c>
      <c r="X8" s="73">
        <f t="shared" si="12"/>
        <v>1.1984126984126984</v>
      </c>
      <c r="Y8" s="73">
        <f t="shared" si="12"/>
        <v>1.2054054054054053</v>
      </c>
      <c r="Z8" s="73">
        <f t="shared" si="12"/>
        <v>1.2054054054054053</v>
      </c>
      <c r="AA8" s="75">
        <f t="shared" si="12"/>
        <v>0.96085409252669041</v>
      </c>
      <c r="AB8" s="75">
        <f t="shared" si="12"/>
        <v>0.94982078853046592</v>
      </c>
      <c r="AC8" s="75">
        <f t="shared" si="12"/>
        <v>0.84293193717277481</v>
      </c>
      <c r="AD8" s="75">
        <f t="shared" si="12"/>
        <v>0.94915254237288138</v>
      </c>
      <c r="AE8" s="67">
        <f t="shared" si="10"/>
        <v>3.7027593606028129</v>
      </c>
      <c r="AF8" s="64">
        <f t="shared" si="1"/>
        <v>0.92568984015070321</v>
      </c>
      <c r="AG8" s="73">
        <f>AG7/AG5</f>
        <v>0</v>
      </c>
      <c r="AH8" s="73" t="e">
        <f>AH7/AH5</f>
        <v>#DIV/0!</v>
      </c>
      <c r="AI8" s="73">
        <f>AI7/AI5</f>
        <v>1.010958904109589</v>
      </c>
      <c r="AJ8" s="73">
        <f>AJ7/AJ5</f>
        <v>0.89120370370370372</v>
      </c>
      <c r="AK8" s="73">
        <f>AK7/AK5</f>
        <v>0.63414634146341464</v>
      </c>
      <c r="AL8" s="65">
        <f t="shared" si="3"/>
        <v>0.21138211382113822</v>
      </c>
      <c r="AM8" s="74">
        <f>AM7/AM5</f>
        <v>1.0895522388059702</v>
      </c>
      <c r="AN8" s="74">
        <f>AN7/AN5</f>
        <v>1.2967479674796747</v>
      </c>
      <c r="AO8" s="74">
        <f>AO7/AO5</f>
        <v>1.0333333333333334</v>
      </c>
      <c r="AP8" s="74">
        <f>AP7/AP5</f>
        <v>1.0380434782608696</v>
      </c>
      <c r="AQ8" s="74">
        <f>AQ7/AQ5</f>
        <v>0.99757869249394671</v>
      </c>
      <c r="AR8" s="66">
        <f t="shared" si="4"/>
        <v>5.4552557103737938</v>
      </c>
      <c r="AS8" s="66">
        <f t="shared" si="5"/>
        <v>1.0910511420747588</v>
      </c>
      <c r="AT8" s="73">
        <f>AT7/AT5</f>
        <v>0.96357615894039739</v>
      </c>
      <c r="AU8" s="73">
        <f>AU7/AU5</f>
        <v>1.2030769230769232</v>
      </c>
      <c r="AV8" s="73">
        <f>AV7/AV5</f>
        <v>1.1754385964912282</v>
      </c>
      <c r="AW8" s="73">
        <f>AW7/AW5</f>
        <v>0.97647058823529409</v>
      </c>
      <c r="AX8" s="73"/>
      <c r="AY8" s="73">
        <f>AY7/AY5</f>
        <v>0.94339622641509435</v>
      </c>
      <c r="AZ8" s="60">
        <f t="shared" si="11"/>
        <v>5.2619584931589376</v>
      </c>
      <c r="BA8" s="60">
        <f t="shared" si="6"/>
        <v>1.0523916986317876</v>
      </c>
      <c r="BB8" s="74">
        <f>BB7/BB5</f>
        <v>0.92712550607287447</v>
      </c>
      <c r="BC8" s="74">
        <f>BC7/BC5</f>
        <v>1.17</v>
      </c>
      <c r="BD8" s="74">
        <f>BD7/BD5</f>
        <v>1.3970037453183521</v>
      </c>
      <c r="BE8" s="66">
        <f t="shared" si="7"/>
        <v>3.4941292513912265</v>
      </c>
      <c r="BF8" s="85">
        <f t="shared" si="8"/>
        <v>1.1647097504637423</v>
      </c>
      <c r="BG8" s="3"/>
    </row>
    <row r="9" spans="1:59">
      <c r="A9" s="2" t="s">
        <v>174</v>
      </c>
      <c r="B9" s="160"/>
      <c r="C9" s="148">
        <f t="shared" ref="C9:I9" si="13">C10/C4</f>
        <v>0.44081632653061226</v>
      </c>
      <c r="D9" s="73">
        <f t="shared" si="13"/>
        <v>0.80285714285714282</v>
      </c>
      <c r="E9" s="73">
        <f t="shared" si="13"/>
        <v>0</v>
      </c>
      <c r="F9" s="73">
        <f t="shared" si="13"/>
        <v>0.50793650793650791</v>
      </c>
      <c r="G9" s="73">
        <f t="shared" si="13"/>
        <v>0.5133928571428571</v>
      </c>
      <c r="H9" s="73">
        <f t="shared" si="13"/>
        <v>0.82222222222222219</v>
      </c>
      <c r="I9" s="73">
        <f t="shared" si="13"/>
        <v>0.50322580645161286</v>
      </c>
      <c r="J9" s="59"/>
      <c r="K9" s="60"/>
      <c r="L9" s="74"/>
      <c r="M9" s="74"/>
      <c r="N9" s="74"/>
      <c r="O9" s="74"/>
      <c r="P9" s="74"/>
      <c r="Q9" s="74"/>
      <c r="R9" s="74"/>
      <c r="S9" s="74"/>
      <c r="T9" s="74"/>
      <c r="U9" s="76"/>
      <c r="V9" s="73"/>
      <c r="W9" s="73"/>
      <c r="X9" s="73"/>
      <c r="Y9" s="59">
        <f t="shared" ref="Y9:Y35" si="14">SUM(L9:X9)</f>
        <v>0</v>
      </c>
      <c r="Z9" s="59">
        <f t="shared" si="0"/>
        <v>0</v>
      </c>
      <c r="AA9" s="75">
        <f>AA10/AA4</f>
        <v>0.77105263157894732</v>
      </c>
      <c r="AB9" s="75">
        <f>AB10/AB4</f>
        <v>0.80780780780780781</v>
      </c>
      <c r="AC9" s="75">
        <f>AC10/AC4</f>
        <v>0.65</v>
      </c>
      <c r="AD9" s="75">
        <f>AD10/AD4</f>
        <v>0.69473684210526321</v>
      </c>
      <c r="AE9" s="67">
        <f t="shared" si="10"/>
        <v>2.9235972814920181</v>
      </c>
      <c r="AF9" s="64">
        <f t="shared" si="1"/>
        <v>0.73089932037300454</v>
      </c>
      <c r="AG9" s="73">
        <f>AG10/AG4</f>
        <v>0</v>
      </c>
      <c r="AH9" s="73">
        <f>AH10/AH4</f>
        <v>0.62903225806451613</v>
      </c>
      <c r="AI9" s="73">
        <f>AI10/AI4</f>
        <v>0.78095238095238095</v>
      </c>
      <c r="AJ9" s="73">
        <f>AJ10/AJ4</f>
        <v>0.69259259259259254</v>
      </c>
      <c r="AK9" s="65">
        <f t="shared" si="2"/>
        <v>1.4735449735449735</v>
      </c>
      <c r="AL9" s="65">
        <f t="shared" si="3"/>
        <v>0.49118165784832452</v>
      </c>
      <c r="AM9" s="74">
        <f>AM10/AM4</f>
        <v>0.44693877551020406</v>
      </c>
      <c r="AN9" s="74">
        <f>AN10/AN4</f>
        <v>0.92032967032967028</v>
      </c>
      <c r="AO9" s="74">
        <f>AO10/AO4</f>
        <v>0.50526315789473686</v>
      </c>
      <c r="AP9" s="74">
        <f>AP10/AP4</f>
        <v>0.59142857142857141</v>
      </c>
      <c r="AQ9" s="74"/>
      <c r="AR9" s="66">
        <f t="shared" si="4"/>
        <v>2.4639601751631828</v>
      </c>
      <c r="AS9" s="66">
        <f t="shared" si="5"/>
        <v>0.49279203503263658</v>
      </c>
      <c r="AT9" s="73"/>
      <c r="AU9" s="73"/>
      <c r="AV9" s="73"/>
      <c r="AW9" s="73"/>
      <c r="AX9" s="73"/>
      <c r="AY9" s="73"/>
      <c r="AZ9" s="60">
        <f t="shared" si="11"/>
        <v>0</v>
      </c>
      <c r="BA9" s="60">
        <f t="shared" si="6"/>
        <v>0</v>
      </c>
      <c r="BB9" s="74"/>
      <c r="BC9" s="74"/>
      <c r="BD9" s="74"/>
      <c r="BE9" s="66">
        <f t="shared" si="7"/>
        <v>0</v>
      </c>
      <c r="BF9" s="85">
        <f t="shared" si="8"/>
        <v>0</v>
      </c>
      <c r="BG9" s="3"/>
    </row>
    <row r="10" spans="1:59" ht="42.75">
      <c r="A10" s="2" t="s">
        <v>71</v>
      </c>
      <c r="B10" s="160" t="s">
        <v>175</v>
      </c>
      <c r="C10" s="146">
        <v>216</v>
      </c>
      <c r="D10" s="58">
        <v>281</v>
      </c>
      <c r="E10" s="58"/>
      <c r="F10" s="58">
        <v>320</v>
      </c>
      <c r="G10" s="58">
        <v>115</v>
      </c>
      <c r="H10" s="58">
        <v>185</v>
      </c>
      <c r="I10" s="58">
        <v>156</v>
      </c>
      <c r="J10" s="59">
        <f>SUM(C10:I10)-F10</f>
        <v>953</v>
      </c>
      <c r="K10" s="60">
        <f>J10/6</f>
        <v>158.83333333333334</v>
      </c>
      <c r="L10" s="61"/>
      <c r="M10" s="61"/>
      <c r="N10" s="61"/>
      <c r="O10" s="61"/>
      <c r="P10" s="61"/>
      <c r="Q10" s="61"/>
      <c r="R10" s="61"/>
      <c r="S10" s="61"/>
      <c r="T10" s="76"/>
      <c r="U10" s="76"/>
      <c r="V10" s="58"/>
      <c r="W10" s="58"/>
      <c r="X10" s="58"/>
      <c r="Y10" s="59">
        <f t="shared" si="14"/>
        <v>0</v>
      </c>
      <c r="Z10" s="59">
        <f t="shared" si="0"/>
        <v>0</v>
      </c>
      <c r="AA10" s="63">
        <v>293</v>
      </c>
      <c r="AB10" s="63">
        <v>269</v>
      </c>
      <c r="AC10" s="63">
        <v>195</v>
      </c>
      <c r="AD10" s="63">
        <v>264</v>
      </c>
      <c r="AE10" s="67">
        <f t="shared" si="10"/>
        <v>1021</v>
      </c>
      <c r="AF10" s="64">
        <f t="shared" si="1"/>
        <v>255.25</v>
      </c>
      <c r="AG10" s="58"/>
      <c r="AH10" s="58">
        <v>390</v>
      </c>
      <c r="AI10" s="58">
        <v>410</v>
      </c>
      <c r="AJ10" s="58">
        <v>374</v>
      </c>
      <c r="AK10" s="65">
        <f t="shared" si="2"/>
        <v>784</v>
      </c>
      <c r="AL10" s="65">
        <f t="shared" si="3"/>
        <v>261.33333333333331</v>
      </c>
      <c r="AM10" s="61">
        <v>219</v>
      </c>
      <c r="AN10" s="61">
        <v>335</v>
      </c>
      <c r="AO10" s="61">
        <v>192</v>
      </c>
      <c r="AP10" s="61">
        <v>207</v>
      </c>
      <c r="AQ10" s="61">
        <v>400</v>
      </c>
      <c r="AR10" s="66">
        <f t="shared" si="4"/>
        <v>1353</v>
      </c>
      <c r="AS10" s="66">
        <f t="shared" si="5"/>
        <v>270.60000000000002</v>
      </c>
      <c r="AT10" s="58">
        <v>337</v>
      </c>
      <c r="AU10" s="58">
        <v>335</v>
      </c>
      <c r="AV10" s="58">
        <v>381</v>
      </c>
      <c r="AW10" s="58">
        <v>350</v>
      </c>
      <c r="AX10" s="58">
        <v>280</v>
      </c>
      <c r="AY10" s="58">
        <v>438</v>
      </c>
      <c r="AZ10" s="60">
        <f t="shared" si="11"/>
        <v>1841</v>
      </c>
      <c r="BA10" s="60">
        <f t="shared" si="6"/>
        <v>368.2</v>
      </c>
      <c r="BB10" s="61">
        <v>300</v>
      </c>
      <c r="BC10" s="61">
        <v>262</v>
      </c>
      <c r="BD10" s="61">
        <v>376</v>
      </c>
      <c r="BE10" s="66">
        <f t="shared" si="7"/>
        <v>938</v>
      </c>
      <c r="BF10" s="85">
        <f t="shared" si="8"/>
        <v>312.66666666666669</v>
      </c>
      <c r="BG10" s="3"/>
    </row>
    <row r="11" spans="1:59">
      <c r="A11" s="2" t="s">
        <v>176</v>
      </c>
      <c r="B11" s="160"/>
      <c r="C11" s="148">
        <f>C10/C5</f>
        <v>0.62247838616714701</v>
      </c>
      <c r="D11" s="73">
        <f>D10/D5</f>
        <v>1.0144404332129964</v>
      </c>
      <c r="E11" s="73">
        <f>E10/E5</f>
        <v>0</v>
      </c>
      <c r="F11" s="73" t="e">
        <f>F10/F5</f>
        <v>#DIV/0!</v>
      </c>
      <c r="G11" s="73">
        <f>G10/G5</f>
        <v>0.98290598290598286</v>
      </c>
      <c r="H11" s="73"/>
      <c r="I11" s="73">
        <f>I10/I5</f>
        <v>0.8</v>
      </c>
      <c r="J11" s="59"/>
      <c r="K11" s="60"/>
      <c r="L11" s="74"/>
      <c r="M11" s="74"/>
      <c r="N11" s="74"/>
      <c r="O11" s="74"/>
      <c r="P11" s="74"/>
      <c r="Q11" s="74"/>
      <c r="R11" s="74"/>
      <c r="S11" s="74"/>
      <c r="T11" s="76"/>
      <c r="U11" s="76"/>
      <c r="V11" s="73"/>
      <c r="W11" s="73"/>
      <c r="X11" s="73"/>
      <c r="Y11" s="59">
        <f t="shared" si="14"/>
        <v>0</v>
      </c>
      <c r="Z11" s="59">
        <f t="shared" si="0"/>
        <v>0</v>
      </c>
      <c r="AA11" s="75">
        <f>AA10/AA5</f>
        <v>1.0427046263345197</v>
      </c>
      <c r="AB11" s="75">
        <f>AB10/AB5</f>
        <v>0.96415770609318996</v>
      </c>
      <c r="AC11" s="75">
        <f>AC10/AC5</f>
        <v>1.0209424083769634</v>
      </c>
      <c r="AD11" s="75">
        <f>AD10/AD5</f>
        <v>1.1186440677966101</v>
      </c>
      <c r="AE11" s="67">
        <f t="shared" si="10"/>
        <v>4.1464488086012832</v>
      </c>
      <c r="AF11" s="64">
        <f t="shared" si="1"/>
        <v>1.0366122021503208</v>
      </c>
      <c r="AG11" s="73">
        <f>AG10/AG5</f>
        <v>0</v>
      </c>
      <c r="AH11" s="73" t="e">
        <f>AH10/AH5</f>
        <v>#DIV/0!</v>
      </c>
      <c r="AI11" s="73">
        <f>AI10/AI5</f>
        <v>1.1232876712328768</v>
      </c>
      <c r="AJ11" s="73">
        <f>AJ10/AJ5</f>
        <v>0.8657407407407407</v>
      </c>
      <c r="AK11" s="73">
        <f>AK10/AK5</f>
        <v>0.65937762825904123</v>
      </c>
      <c r="AL11" s="65">
        <f t="shared" si="3"/>
        <v>0.21979254275301374</v>
      </c>
      <c r="AM11" s="74">
        <f>AM10/AM5</f>
        <v>1.0895522388059702</v>
      </c>
      <c r="AN11" s="74">
        <f>AN10/AN5</f>
        <v>1.3617886178861789</v>
      </c>
      <c r="AO11" s="74">
        <f>AO10/AO5</f>
        <v>1.0666666666666667</v>
      </c>
      <c r="AP11" s="74">
        <f>AP10/AP5</f>
        <v>1.125</v>
      </c>
      <c r="AQ11" s="74">
        <f>AQ10/AQ5</f>
        <v>0.96852300242130751</v>
      </c>
      <c r="AR11" s="66">
        <f t="shared" si="4"/>
        <v>5.6115305257801236</v>
      </c>
      <c r="AS11" s="66">
        <f t="shared" si="5"/>
        <v>1.1223061051560248</v>
      </c>
      <c r="AT11" s="73">
        <f>AT10/AT5</f>
        <v>1.1158940397350994</v>
      </c>
      <c r="AU11" s="73">
        <f>AU10/AU5</f>
        <v>1.0307692307692307</v>
      </c>
      <c r="AV11" s="73">
        <f>AV10/AV5</f>
        <v>1.3368421052631578</v>
      </c>
      <c r="AW11" s="73">
        <f>AW10/AW5</f>
        <v>1.0294117647058822</v>
      </c>
      <c r="AX11" s="73"/>
      <c r="AY11" s="73">
        <f>AY10/AY5</f>
        <v>0.91823899371069184</v>
      </c>
      <c r="AZ11" s="60">
        <f t="shared" si="11"/>
        <v>5.4311561341840626</v>
      </c>
      <c r="BA11" s="60">
        <f t="shared" si="6"/>
        <v>1.0862312268368126</v>
      </c>
      <c r="BB11" s="74">
        <f>BB10/BB5</f>
        <v>1.214574898785425</v>
      </c>
      <c r="BC11" s="74">
        <f>BC10/BC5</f>
        <v>1.31</v>
      </c>
      <c r="BD11" s="74">
        <f>BD10/BD5</f>
        <v>1.4082397003745319</v>
      </c>
      <c r="BE11" s="66">
        <f t="shared" si="7"/>
        <v>3.9328145991599568</v>
      </c>
      <c r="BF11" s="85">
        <f t="shared" si="8"/>
        <v>1.3109381997199856</v>
      </c>
      <c r="BG11" s="3"/>
    </row>
    <row r="12" spans="1:59">
      <c r="A12" s="2" t="s">
        <v>177</v>
      </c>
      <c r="B12" s="160"/>
      <c r="C12" s="148">
        <f t="shared" ref="C12:I12" si="15">C10/C4</f>
        <v>0.44081632653061226</v>
      </c>
      <c r="D12" s="73">
        <f t="shared" si="15"/>
        <v>0.80285714285714282</v>
      </c>
      <c r="E12" s="73">
        <f t="shared" si="15"/>
        <v>0</v>
      </c>
      <c r="F12" s="73">
        <f t="shared" si="15"/>
        <v>0.50793650793650791</v>
      </c>
      <c r="G12" s="73">
        <f t="shared" si="15"/>
        <v>0.5133928571428571</v>
      </c>
      <c r="H12" s="73">
        <f t="shared" si="15"/>
        <v>0.82222222222222219</v>
      </c>
      <c r="I12" s="73">
        <f t="shared" si="15"/>
        <v>0.50322580645161286</v>
      </c>
      <c r="J12" s="59"/>
      <c r="K12" s="60"/>
      <c r="L12" s="74"/>
      <c r="M12" s="74"/>
      <c r="N12" s="74"/>
      <c r="O12" s="74"/>
      <c r="P12" s="74"/>
      <c r="Q12" s="74"/>
      <c r="R12" s="74"/>
      <c r="S12" s="74"/>
      <c r="T12" s="76"/>
      <c r="U12" s="76"/>
      <c r="V12" s="73"/>
      <c r="W12" s="73"/>
      <c r="X12" s="73"/>
      <c r="Y12" s="59">
        <f t="shared" si="14"/>
        <v>0</v>
      </c>
      <c r="Z12" s="59">
        <f t="shared" si="0"/>
        <v>0</v>
      </c>
      <c r="AA12" s="75">
        <f>AA10/AA4</f>
        <v>0.77105263157894732</v>
      </c>
      <c r="AB12" s="75">
        <f>AB10/AB4</f>
        <v>0.80780780780780781</v>
      </c>
      <c r="AC12" s="75">
        <f>AC10/AC4</f>
        <v>0.65</v>
      </c>
      <c r="AD12" s="75">
        <f>AD10/AD4</f>
        <v>0.69473684210526321</v>
      </c>
      <c r="AE12" s="67">
        <f t="shared" si="10"/>
        <v>2.9235972814920181</v>
      </c>
      <c r="AF12" s="64">
        <f t="shared" si="1"/>
        <v>0.73089932037300454</v>
      </c>
      <c r="AG12" s="73">
        <f>AG10/AG4</f>
        <v>0</v>
      </c>
      <c r="AH12" s="73">
        <f>AH10/AH4</f>
        <v>0.62903225806451613</v>
      </c>
      <c r="AI12" s="73">
        <f>AI10/AI4</f>
        <v>0.78095238095238095</v>
      </c>
      <c r="AJ12" s="73">
        <f>AJ10/AJ4</f>
        <v>0.69259259259259254</v>
      </c>
      <c r="AK12" s="65">
        <f t="shared" si="2"/>
        <v>1.4735449735449735</v>
      </c>
      <c r="AL12" s="65">
        <f t="shared" si="3"/>
        <v>0.49118165784832452</v>
      </c>
      <c r="AM12" s="74">
        <f>AM10/AM4</f>
        <v>0.44693877551020406</v>
      </c>
      <c r="AN12" s="74">
        <f>AN10/AN4</f>
        <v>0.92032967032967028</v>
      </c>
      <c r="AO12" s="74">
        <f>AO10/AO4</f>
        <v>0.50526315789473686</v>
      </c>
      <c r="AP12" s="74">
        <f>AP10/AP4</f>
        <v>0.59142857142857141</v>
      </c>
      <c r="AQ12" s="74">
        <f>AQ10/AQ4</f>
        <v>0.72727272727272729</v>
      </c>
      <c r="AR12" s="66">
        <f t="shared" si="4"/>
        <v>3.1912329024359103</v>
      </c>
      <c r="AS12" s="66">
        <f t="shared" si="5"/>
        <v>0.63824658048718208</v>
      </c>
      <c r="AT12" s="73">
        <f t="shared" ref="AT12:AY12" si="16">AT10/AT4</f>
        <v>0.80238095238095242</v>
      </c>
      <c r="AU12" s="73">
        <f t="shared" si="16"/>
        <v>0.74444444444444446</v>
      </c>
      <c r="AV12" s="73">
        <f t="shared" si="16"/>
        <v>1.0026315789473683</v>
      </c>
      <c r="AW12" s="73">
        <f t="shared" si="16"/>
        <v>0.92105263157894735</v>
      </c>
      <c r="AX12" s="73">
        <f t="shared" si="16"/>
        <v>0.90322580645161288</v>
      </c>
      <c r="AY12" s="73">
        <f t="shared" si="16"/>
        <v>0.81111111111111112</v>
      </c>
      <c r="AZ12" s="60">
        <f t="shared" si="11"/>
        <v>4.2816207184628228</v>
      </c>
      <c r="BA12" s="60">
        <f t="shared" si="6"/>
        <v>0.8563241436925646</v>
      </c>
      <c r="BB12" s="74">
        <f>BB10/BB4</f>
        <v>1</v>
      </c>
      <c r="BC12" s="74">
        <f>BC10/BC4</f>
        <v>0.80615384615384611</v>
      </c>
      <c r="BD12" s="74">
        <f>BD10/BD4</f>
        <v>1.0444444444444445</v>
      </c>
      <c r="BE12" s="66">
        <f t="shared" si="7"/>
        <v>2.850598290598291</v>
      </c>
      <c r="BF12" s="85">
        <f t="shared" si="8"/>
        <v>0.95019943019943032</v>
      </c>
      <c r="BG12" s="3"/>
    </row>
    <row r="13" spans="1:59" ht="48" customHeight="1">
      <c r="A13" s="2" t="s">
        <v>73</v>
      </c>
      <c r="B13" s="160" t="s">
        <v>178</v>
      </c>
      <c r="C13" s="146">
        <v>211</v>
      </c>
      <c r="D13" s="58">
        <v>281</v>
      </c>
      <c r="E13" s="58"/>
      <c r="F13" s="58">
        <v>356</v>
      </c>
      <c r="G13" s="58">
        <v>179</v>
      </c>
      <c r="H13" s="58">
        <v>183</v>
      </c>
      <c r="I13" s="58">
        <v>152</v>
      </c>
      <c r="J13" s="59">
        <f>SUM(C13:I13)-F13</f>
        <v>1006</v>
      </c>
      <c r="K13" s="60">
        <f>J13/6</f>
        <v>167.66666666666666</v>
      </c>
      <c r="L13" s="61"/>
      <c r="M13" s="61"/>
      <c r="N13" s="61"/>
      <c r="O13" s="61"/>
      <c r="P13" s="61"/>
      <c r="Q13" s="61"/>
      <c r="R13" s="61"/>
      <c r="S13" s="61"/>
      <c r="T13" s="76"/>
      <c r="U13" s="76"/>
      <c r="V13" s="58"/>
      <c r="W13" s="58"/>
      <c r="X13" s="58"/>
      <c r="Y13" s="59">
        <f t="shared" si="14"/>
        <v>0</v>
      </c>
      <c r="Z13" s="59">
        <f t="shared" si="0"/>
        <v>0</v>
      </c>
      <c r="AA13" s="63">
        <v>283</v>
      </c>
      <c r="AB13" s="63">
        <v>317</v>
      </c>
      <c r="AC13" s="63">
        <v>188</v>
      </c>
      <c r="AD13" s="63">
        <v>375</v>
      </c>
      <c r="AE13" s="67">
        <f t="shared" si="10"/>
        <v>1163</v>
      </c>
      <c r="AF13" s="64">
        <f t="shared" si="1"/>
        <v>290.75</v>
      </c>
      <c r="AG13" s="58"/>
      <c r="AH13" s="58">
        <v>390</v>
      </c>
      <c r="AI13" s="58">
        <v>394</v>
      </c>
      <c r="AJ13" s="58">
        <v>380</v>
      </c>
      <c r="AK13" s="65">
        <f t="shared" si="2"/>
        <v>774</v>
      </c>
      <c r="AL13" s="65">
        <f t="shared" si="3"/>
        <v>258</v>
      </c>
      <c r="AM13" s="61">
        <v>218</v>
      </c>
      <c r="AN13" s="61">
        <v>317</v>
      </c>
      <c r="AO13" s="61">
        <v>188</v>
      </c>
      <c r="AP13" s="61">
        <v>200</v>
      </c>
      <c r="AQ13" s="61">
        <v>401</v>
      </c>
      <c r="AR13" s="66">
        <f t="shared" si="4"/>
        <v>1324</v>
      </c>
      <c r="AS13" s="66">
        <f t="shared" si="5"/>
        <v>264.8</v>
      </c>
      <c r="AT13" s="58">
        <v>362</v>
      </c>
      <c r="AU13" s="58">
        <v>353</v>
      </c>
      <c r="AV13" s="58">
        <v>393</v>
      </c>
      <c r="AW13" s="58">
        <v>401</v>
      </c>
      <c r="AX13" s="58">
        <v>331</v>
      </c>
      <c r="AY13" s="58">
        <v>462</v>
      </c>
      <c r="AZ13" s="60">
        <f t="shared" si="11"/>
        <v>1971</v>
      </c>
      <c r="BA13" s="60">
        <f t="shared" si="6"/>
        <v>394.2</v>
      </c>
      <c r="BB13" s="61">
        <v>324</v>
      </c>
      <c r="BC13" s="61">
        <v>252</v>
      </c>
      <c r="BD13" s="61">
        <v>410</v>
      </c>
      <c r="BE13" s="66">
        <f t="shared" si="7"/>
        <v>986</v>
      </c>
      <c r="BF13" s="85">
        <f t="shared" si="8"/>
        <v>328.66666666666669</v>
      </c>
      <c r="BG13" s="3"/>
    </row>
    <row r="14" spans="1:59">
      <c r="A14" s="2" t="s">
        <v>179</v>
      </c>
      <c r="B14" s="160"/>
      <c r="C14" s="148">
        <f>C13/C5</f>
        <v>0.60806916426512969</v>
      </c>
      <c r="D14" s="73">
        <f>D13/D5</f>
        <v>1.0144404332129964</v>
      </c>
      <c r="E14" s="73">
        <f>E13/E5</f>
        <v>0</v>
      </c>
      <c r="F14" s="73" t="e">
        <f>F13/F5</f>
        <v>#DIV/0!</v>
      </c>
      <c r="G14" s="73">
        <f>G13/G5</f>
        <v>1.5299145299145298</v>
      </c>
      <c r="H14" s="73"/>
      <c r="I14" s="73">
        <f>I13/I5</f>
        <v>0.77948717948717949</v>
      </c>
      <c r="J14" s="59"/>
      <c r="K14" s="60"/>
      <c r="L14" s="74"/>
      <c r="M14" s="74"/>
      <c r="N14" s="74"/>
      <c r="O14" s="74"/>
      <c r="P14" s="74"/>
      <c r="Q14" s="74"/>
      <c r="R14" s="74"/>
      <c r="S14" s="74"/>
      <c r="T14" s="76"/>
      <c r="U14" s="76"/>
      <c r="V14" s="73"/>
      <c r="W14" s="73"/>
      <c r="X14" s="73"/>
      <c r="Y14" s="59">
        <f t="shared" si="14"/>
        <v>0</v>
      </c>
      <c r="Z14" s="59">
        <f t="shared" si="0"/>
        <v>0</v>
      </c>
      <c r="AA14" s="75">
        <f>AA13/AA5</f>
        <v>1.0071174377224199</v>
      </c>
      <c r="AB14" s="75">
        <f>AB13/AB5</f>
        <v>1.1362007168458781</v>
      </c>
      <c r="AC14" s="75">
        <f>AC13/AC5</f>
        <v>0.98429319371727753</v>
      </c>
      <c r="AD14" s="75">
        <f>AD13/AD5</f>
        <v>1.5889830508474576</v>
      </c>
      <c r="AE14" s="67">
        <f t="shared" si="10"/>
        <v>4.716594399133033</v>
      </c>
      <c r="AF14" s="64">
        <f t="shared" si="1"/>
        <v>1.1791485997832583</v>
      </c>
      <c r="AG14" s="73">
        <f>AG13/AG5</f>
        <v>0</v>
      </c>
      <c r="AH14" s="73" t="e">
        <f>AH13/AH5</f>
        <v>#DIV/0!</v>
      </c>
      <c r="AI14" s="73">
        <f>AI13/AI5</f>
        <v>1.0794520547945206</v>
      </c>
      <c r="AJ14" s="73">
        <f>AJ13/AJ5</f>
        <v>0.87962962962962965</v>
      </c>
      <c r="AK14" s="73">
        <f>AK13/AK5</f>
        <v>0.65096719932716574</v>
      </c>
      <c r="AL14" s="65">
        <f t="shared" si="3"/>
        <v>0.21698906644238858</v>
      </c>
      <c r="AM14" s="74">
        <f>AM13/AM5</f>
        <v>1.0845771144278606</v>
      </c>
      <c r="AN14" s="74">
        <f>AN13/AN5</f>
        <v>1.2886178861788617</v>
      </c>
      <c r="AO14" s="74">
        <f>AO13/AO5</f>
        <v>1.0444444444444445</v>
      </c>
      <c r="AP14" s="74">
        <f>AP13/AP5</f>
        <v>1.0869565217391304</v>
      </c>
      <c r="AQ14" s="74">
        <f>AQ13/AQ5</f>
        <v>0.9709443099273608</v>
      </c>
      <c r="AR14" s="66">
        <f t="shared" si="4"/>
        <v>5.4755402767176582</v>
      </c>
      <c r="AS14" s="66">
        <f t="shared" si="5"/>
        <v>1.0951080553435317</v>
      </c>
      <c r="AT14" s="73">
        <f>AT13/AT5</f>
        <v>1.1986754966887416</v>
      </c>
      <c r="AU14" s="73">
        <f>AU13/AU5</f>
        <v>1.0861538461538462</v>
      </c>
      <c r="AV14" s="73">
        <f>AV13/AV5</f>
        <v>1.3789473684210527</v>
      </c>
      <c r="AW14" s="73">
        <f>AW13/AW5</f>
        <v>1.1794117647058824</v>
      </c>
      <c r="AX14" s="73"/>
      <c r="AY14" s="73">
        <f>AY13/AY5</f>
        <v>0.96855345911949686</v>
      </c>
      <c r="AZ14" s="60">
        <f t="shared" si="11"/>
        <v>5.81174193508902</v>
      </c>
      <c r="BA14" s="60">
        <f t="shared" si="6"/>
        <v>1.162348387017804</v>
      </c>
      <c r="BB14" s="74">
        <f>BB13/BB5</f>
        <v>1.3117408906882591</v>
      </c>
      <c r="BC14" s="74">
        <f>BC13/BC5</f>
        <v>1.26</v>
      </c>
      <c r="BD14" s="74">
        <f>BD13/BD5</f>
        <v>1.5355805243445693</v>
      </c>
      <c r="BE14" s="66">
        <f t="shared" si="7"/>
        <v>4.1073214150328283</v>
      </c>
      <c r="BF14" s="85">
        <f t="shared" si="8"/>
        <v>1.3691071383442761</v>
      </c>
      <c r="BG14" s="3"/>
    </row>
    <row r="15" spans="1:59">
      <c r="A15" s="2" t="s">
        <v>180</v>
      </c>
      <c r="B15" s="160"/>
      <c r="C15" s="148">
        <f t="shared" ref="C15:I15" si="17">C13/C4</f>
        <v>0.43061224489795918</v>
      </c>
      <c r="D15" s="73">
        <f t="shared" si="17"/>
        <v>0.80285714285714282</v>
      </c>
      <c r="E15" s="73">
        <f t="shared" si="17"/>
        <v>0</v>
      </c>
      <c r="F15" s="73">
        <f t="shared" si="17"/>
        <v>0.56507936507936507</v>
      </c>
      <c r="G15" s="73">
        <f t="shared" si="17"/>
        <v>0.7991071428571429</v>
      </c>
      <c r="H15" s="73">
        <f t="shared" si="17"/>
        <v>0.81333333333333335</v>
      </c>
      <c r="I15" s="73">
        <f t="shared" si="17"/>
        <v>0.49032258064516127</v>
      </c>
      <c r="J15" s="59"/>
      <c r="K15" s="60"/>
      <c r="L15" s="74"/>
      <c r="M15" s="74"/>
      <c r="N15" s="74"/>
      <c r="O15" s="74"/>
      <c r="P15" s="74"/>
      <c r="Q15" s="74"/>
      <c r="R15" s="74"/>
      <c r="S15" s="74"/>
      <c r="T15" s="76"/>
      <c r="U15" s="76"/>
      <c r="V15" s="73"/>
      <c r="W15" s="73"/>
      <c r="X15" s="73"/>
      <c r="Y15" s="59">
        <f t="shared" si="14"/>
        <v>0</v>
      </c>
      <c r="Z15" s="59">
        <f t="shared" si="0"/>
        <v>0</v>
      </c>
      <c r="AA15" s="75">
        <f>AA13/AA4</f>
        <v>0.74473684210526314</v>
      </c>
      <c r="AB15" s="75">
        <f>AB13/AB4</f>
        <v>0.95195195195195192</v>
      </c>
      <c r="AC15" s="75">
        <f>AC13/AC4</f>
        <v>0.62666666666666671</v>
      </c>
      <c r="AD15" s="75">
        <f>AD13/AD4</f>
        <v>0.98684210526315785</v>
      </c>
      <c r="AE15" s="67">
        <f t="shared" si="10"/>
        <v>3.3101975659870395</v>
      </c>
      <c r="AF15" s="64">
        <f t="shared" si="1"/>
        <v>0.82754939149675988</v>
      </c>
      <c r="AG15" s="73">
        <f>AG13/AG4</f>
        <v>0</v>
      </c>
      <c r="AH15" s="73">
        <f>AH13/AH4</f>
        <v>0.62903225806451613</v>
      </c>
      <c r="AI15" s="73">
        <f>AI13/AI4</f>
        <v>0.75047619047619052</v>
      </c>
      <c r="AJ15" s="73">
        <f>AJ13/AJ4</f>
        <v>0.70370370370370372</v>
      </c>
      <c r="AK15" s="65">
        <f t="shared" si="2"/>
        <v>1.4541798941798945</v>
      </c>
      <c r="AL15" s="65">
        <f t="shared" si="3"/>
        <v>0.48472663139329814</v>
      </c>
      <c r="AM15" s="74">
        <f>AM13/AM4</f>
        <v>0.44489795918367347</v>
      </c>
      <c r="AN15" s="74">
        <f>AN13/AN4</f>
        <v>0.87087912087912089</v>
      </c>
      <c r="AO15" s="74">
        <f>AO13/AO4</f>
        <v>0.49473684210526314</v>
      </c>
      <c r="AP15" s="74">
        <f>AP13/AP4</f>
        <v>0.5714285714285714</v>
      </c>
      <c r="AQ15" s="74">
        <f>AQ13/AQ4</f>
        <v>0.72909090909090912</v>
      </c>
      <c r="AR15" s="66">
        <f t="shared" si="4"/>
        <v>3.1110334026875379</v>
      </c>
      <c r="AS15" s="66">
        <f t="shared" si="5"/>
        <v>0.62220668053750761</v>
      </c>
      <c r="AT15" s="73">
        <f t="shared" ref="AT15:AY15" si="18">AT13/AT4</f>
        <v>0.86190476190476195</v>
      </c>
      <c r="AU15" s="73">
        <f t="shared" si="18"/>
        <v>0.7844444444444445</v>
      </c>
      <c r="AV15" s="73">
        <f t="shared" si="18"/>
        <v>1.0342105263157895</v>
      </c>
      <c r="AW15" s="73">
        <f t="shared" si="18"/>
        <v>1.0552631578947369</v>
      </c>
      <c r="AX15" s="73">
        <f t="shared" si="18"/>
        <v>1.0677419354838709</v>
      </c>
      <c r="AY15" s="73">
        <f t="shared" si="18"/>
        <v>0.85555555555555551</v>
      </c>
      <c r="AZ15" s="60">
        <f t="shared" si="11"/>
        <v>4.5913784461152884</v>
      </c>
      <c r="BA15" s="60">
        <f t="shared" si="6"/>
        <v>0.91827568922305769</v>
      </c>
      <c r="BB15" s="74">
        <f>BB13/BB4</f>
        <v>1.08</v>
      </c>
      <c r="BC15" s="74">
        <f>BC13/BC4</f>
        <v>0.77538461538461534</v>
      </c>
      <c r="BD15" s="74">
        <f>BD13/BD4</f>
        <v>1.1388888888888888</v>
      </c>
      <c r="BE15" s="66">
        <f t="shared" si="7"/>
        <v>2.9942735042735045</v>
      </c>
      <c r="BF15" s="85">
        <f t="shared" si="8"/>
        <v>0.99809116809116816</v>
      </c>
      <c r="BG15" s="3"/>
    </row>
    <row r="16" spans="1:59" ht="28.5">
      <c r="A16" s="6" t="s">
        <v>75</v>
      </c>
      <c r="B16" s="160" t="s">
        <v>181</v>
      </c>
      <c r="C16" s="146"/>
      <c r="D16" s="58"/>
      <c r="E16" s="58"/>
      <c r="F16" s="58"/>
      <c r="G16" s="58"/>
      <c r="H16" s="58"/>
      <c r="I16" s="58"/>
      <c r="J16" s="59"/>
      <c r="K16" s="60"/>
      <c r="L16" s="61"/>
      <c r="M16" s="61"/>
      <c r="N16" s="61"/>
      <c r="O16" s="61"/>
      <c r="P16" s="61"/>
      <c r="Q16" s="61"/>
      <c r="R16" s="61"/>
      <c r="S16" s="61"/>
      <c r="T16" s="76">
        <f t="shared" ref="T16:T32" si="19">SUM(G16:S16)</f>
        <v>0</v>
      </c>
      <c r="U16" s="76">
        <f t="shared" ref="U16:U35" si="20">T16/9</f>
        <v>0</v>
      </c>
      <c r="V16" s="58"/>
      <c r="W16" s="58"/>
      <c r="X16" s="58"/>
      <c r="Y16" s="59">
        <f t="shared" si="14"/>
        <v>0</v>
      </c>
      <c r="Z16" s="59">
        <f t="shared" si="0"/>
        <v>0</v>
      </c>
      <c r="AA16" s="63"/>
      <c r="AB16" s="63"/>
      <c r="AC16" s="63"/>
      <c r="AD16" s="63"/>
      <c r="AE16" s="67">
        <f t="shared" si="10"/>
        <v>0</v>
      </c>
      <c r="AF16" s="64">
        <f t="shared" si="1"/>
        <v>0</v>
      </c>
      <c r="AG16" s="58"/>
      <c r="AH16" s="58"/>
      <c r="AI16" s="58"/>
      <c r="AJ16" s="58"/>
      <c r="AK16" s="65">
        <f t="shared" si="2"/>
        <v>0</v>
      </c>
      <c r="AL16" s="65">
        <f t="shared" si="3"/>
        <v>0</v>
      </c>
      <c r="AM16" s="61"/>
      <c r="AN16" s="61"/>
      <c r="AO16" s="61"/>
      <c r="AP16" s="61"/>
      <c r="AQ16" s="61"/>
      <c r="AR16" s="66">
        <f t="shared" si="4"/>
        <v>0</v>
      </c>
      <c r="AS16" s="66">
        <f t="shared" si="5"/>
        <v>0</v>
      </c>
      <c r="AT16" s="58"/>
      <c r="AU16" s="58"/>
      <c r="AV16" s="58"/>
      <c r="AW16" s="58"/>
      <c r="AX16" s="58"/>
      <c r="AY16" s="58"/>
      <c r="AZ16" s="60">
        <f t="shared" si="11"/>
        <v>0</v>
      </c>
      <c r="BA16" s="60">
        <f t="shared" si="6"/>
        <v>0</v>
      </c>
      <c r="BB16" s="61"/>
      <c r="BC16" s="61"/>
      <c r="BD16" s="61"/>
      <c r="BE16" s="66">
        <f t="shared" si="7"/>
        <v>0</v>
      </c>
      <c r="BF16" s="85">
        <f t="shared" si="8"/>
        <v>0</v>
      </c>
    </row>
    <row r="17" spans="1:59" ht="48" customHeight="1">
      <c r="A17" s="2" t="s">
        <v>182</v>
      </c>
      <c r="B17" s="160" t="s">
        <v>183</v>
      </c>
      <c r="C17" s="146">
        <f t="shared" ref="C17:I17" si="21">C19+C20+C21+C22</f>
        <v>37.17</v>
      </c>
      <c r="D17" s="58">
        <f t="shared" si="21"/>
        <v>34.04</v>
      </c>
      <c r="E17" s="58">
        <f t="shared" si="21"/>
        <v>54.4</v>
      </c>
      <c r="F17" s="58">
        <f t="shared" si="21"/>
        <v>0</v>
      </c>
      <c r="G17" s="58">
        <f t="shared" si="21"/>
        <v>15.41</v>
      </c>
      <c r="H17" s="58">
        <f t="shared" si="21"/>
        <v>24</v>
      </c>
      <c r="I17" s="58">
        <f t="shared" si="21"/>
        <v>24.440000000000005</v>
      </c>
      <c r="J17" s="59">
        <f>SUM(C17:I17)-F17</f>
        <v>189.46</v>
      </c>
      <c r="K17" s="60">
        <f>J17/6</f>
        <v>31.576666666666668</v>
      </c>
      <c r="L17" s="61">
        <f>L19+L20+L21+L22</f>
        <v>5.76</v>
      </c>
      <c r="M17" s="61">
        <f>M19+M20+M21+M22</f>
        <v>3.42</v>
      </c>
      <c r="N17" s="61"/>
      <c r="O17" s="61">
        <f>O19+O20+O21+O22</f>
        <v>11.48</v>
      </c>
      <c r="P17" s="61">
        <f>P19+P20+P21+P22</f>
        <v>10.11</v>
      </c>
      <c r="Q17" s="61">
        <f>Q19+Q20+Q21+Q22</f>
        <v>2.0300000000000002</v>
      </c>
      <c r="R17" s="61"/>
      <c r="S17" s="61">
        <f>S19+S20+S21+S22</f>
        <v>12.45</v>
      </c>
      <c r="T17" s="76">
        <f t="shared" si="19"/>
        <v>330.13666666666666</v>
      </c>
      <c r="U17" s="76">
        <f t="shared" si="20"/>
        <v>36.681851851851853</v>
      </c>
      <c r="V17" s="58">
        <f>V19+V20+V21+V22</f>
        <v>5.62</v>
      </c>
      <c r="W17" s="58">
        <f>W19+W20+W21+W22</f>
        <v>8.0500000000000007</v>
      </c>
      <c r="X17" s="58">
        <f>X19+X20+X21+X22</f>
        <v>17.07</v>
      </c>
      <c r="Y17" s="59">
        <f t="shared" si="14"/>
        <v>442.8085185185185</v>
      </c>
      <c r="Z17" s="59">
        <f t="shared" si="0"/>
        <v>49.200946502057612</v>
      </c>
      <c r="AA17" s="63">
        <f>AA19+AA20+AA21+AA22</f>
        <v>27.82</v>
      </c>
      <c r="AB17" s="63">
        <f>AB19+AB20+AB21+AB22</f>
        <v>40.72</v>
      </c>
      <c r="AC17" s="63">
        <f>AC19+AC20+AC21+AC22</f>
        <v>27.47</v>
      </c>
      <c r="AD17" s="63">
        <f>AD19+AD20+AD21+AD22</f>
        <v>26.020000000000003</v>
      </c>
      <c r="AE17" s="63">
        <f>AE19+AE20+AE21+AE22</f>
        <v>122.02999999999999</v>
      </c>
      <c r="AF17" s="63">
        <f>AF19+AF20+AF21+AF22</f>
        <v>30.507499999999997</v>
      </c>
      <c r="AG17" s="58">
        <f>AG19+AG20+AG21+AG22</f>
        <v>45.989999999999995</v>
      </c>
      <c r="AH17" s="58">
        <f>AH19+AH20+AH21+AH22</f>
        <v>0</v>
      </c>
      <c r="AI17" s="58">
        <f>AI19+AI20+AI21+AI22</f>
        <v>40.010000000000005</v>
      </c>
      <c r="AJ17" s="58">
        <f>AJ19+AJ20+AJ21+AJ22</f>
        <v>74.03</v>
      </c>
      <c r="AK17" s="65">
        <f t="shared" si="2"/>
        <v>160.03</v>
      </c>
      <c r="AL17" s="65">
        <f t="shared" si="3"/>
        <v>53.343333333333334</v>
      </c>
      <c r="AM17" s="61">
        <f>AM19+AM20+AM21+AM22</f>
        <v>18.649999999999999</v>
      </c>
      <c r="AN17" s="61">
        <f>AN19+AN20+AN21+AN22</f>
        <v>30.86</v>
      </c>
      <c r="AO17" s="61">
        <f>AO19+AO20+AO21+AO22</f>
        <v>22.85</v>
      </c>
      <c r="AP17" s="61">
        <f>AP19+AP20+AP21+AP22</f>
        <v>20.319999999999997</v>
      </c>
      <c r="AQ17" s="61">
        <f>AQ19+AQ20+AQ21+AQ22</f>
        <v>45.94</v>
      </c>
      <c r="AR17" s="78">
        <f t="shared" si="4"/>
        <v>138.62</v>
      </c>
      <c r="AS17" s="78">
        <f t="shared" si="5"/>
        <v>27.724</v>
      </c>
      <c r="AT17" s="58">
        <f t="shared" ref="AT17:AY17" si="22">AT19+AT20+AT21+AT22</f>
        <v>38.380000000000003</v>
      </c>
      <c r="AU17" s="58">
        <f t="shared" si="22"/>
        <v>30.82</v>
      </c>
      <c r="AV17" s="58">
        <f t="shared" si="22"/>
        <v>33.299999999999997</v>
      </c>
      <c r="AW17" s="58">
        <f t="shared" si="22"/>
        <v>62.589999999999996</v>
      </c>
      <c r="AX17" s="58">
        <f t="shared" si="22"/>
        <v>0</v>
      </c>
      <c r="AY17" s="58">
        <f t="shared" si="22"/>
        <v>81.709999999999994</v>
      </c>
      <c r="AZ17" s="79">
        <f t="shared" si="11"/>
        <v>246.8</v>
      </c>
      <c r="BA17" s="79">
        <f t="shared" si="6"/>
        <v>49.36</v>
      </c>
      <c r="BB17" s="61">
        <f>BB19+BB20+BB21+BB22</f>
        <v>40.35</v>
      </c>
      <c r="BC17" s="61">
        <f>BC19+BC20+BC21+BC22</f>
        <v>33.61</v>
      </c>
      <c r="BD17" s="61">
        <f>BD19+BD20+BD21+BD22</f>
        <v>28.98</v>
      </c>
      <c r="BE17" s="80">
        <f t="shared" si="7"/>
        <v>102.94000000000001</v>
      </c>
      <c r="BF17" s="102">
        <f t="shared" si="8"/>
        <v>34.31333333333334</v>
      </c>
    </row>
    <row r="18" spans="1:59" ht="48" customHeight="1">
      <c r="A18" s="2" t="s">
        <v>184</v>
      </c>
      <c r="B18" s="160" t="s">
        <v>185</v>
      </c>
      <c r="C18" s="149">
        <f>C5/C17</f>
        <v>9.3354856066720462</v>
      </c>
      <c r="D18" s="81">
        <f>D5/D17</f>
        <v>8.1374853113983558</v>
      </c>
      <c r="E18" s="81">
        <f>E5/E17</f>
        <v>6.9485294117647056</v>
      </c>
      <c r="F18" s="81"/>
      <c r="G18" s="81">
        <f>G5/G17</f>
        <v>7.5924724205061649</v>
      </c>
      <c r="H18" s="81">
        <f>H5/H17</f>
        <v>7.416666666666667</v>
      </c>
      <c r="I18" s="81">
        <f>I5/I17</f>
        <v>7.9787234042553177</v>
      </c>
      <c r="J18" s="59">
        <f t="shared" ref="J18:J22" si="23">SUM(C18:I18)-F18</f>
        <v>47.409362821263258</v>
      </c>
      <c r="K18" s="60">
        <f t="shared" ref="K18:K22" si="24">J18/6</f>
        <v>7.9015604702105433</v>
      </c>
      <c r="L18" s="78">
        <f>L5/L17</f>
        <v>6.25</v>
      </c>
      <c r="M18" s="78">
        <f>M5/M17</f>
        <v>5.2631578947368425</v>
      </c>
      <c r="N18" s="78"/>
      <c r="O18" s="78">
        <f>O5/O17</f>
        <v>6.2717770034843205</v>
      </c>
      <c r="P18" s="78">
        <f>P5/P17</f>
        <v>2.6706231454005938</v>
      </c>
      <c r="Q18" s="78">
        <f>Q5/Q17</f>
        <v>5.4187192118226593</v>
      </c>
      <c r="R18" s="78"/>
      <c r="S18" s="78">
        <f>S5/S17</f>
        <v>4.4176706827309236</v>
      </c>
      <c r="T18" s="76">
        <f t="shared" si="19"/>
        <v>108.5907337210773</v>
      </c>
      <c r="U18" s="76">
        <f t="shared" si="20"/>
        <v>12.0656370801197</v>
      </c>
      <c r="V18" s="81">
        <f>V5/V17</f>
        <v>2.4911032028469751</v>
      </c>
      <c r="W18" s="81">
        <f>W5/W17</f>
        <v>5.5900621118012417</v>
      </c>
      <c r="X18" s="81">
        <f>X5/X17</f>
        <v>7.3813708260105448</v>
      </c>
      <c r="Y18" s="59">
        <f t="shared" si="14"/>
        <v>166.41085488003108</v>
      </c>
      <c r="Z18" s="59">
        <f t="shared" si="0"/>
        <v>18.490094986670119</v>
      </c>
      <c r="AA18" s="77">
        <f>AA5/AA17</f>
        <v>10.100647016534866</v>
      </c>
      <c r="AB18" s="77">
        <f>AB5/AB17</f>
        <v>6.8516699410609041</v>
      </c>
      <c r="AC18" s="77">
        <f>AC5/AC17</f>
        <v>6.9530396796505283</v>
      </c>
      <c r="AD18" s="77">
        <f>AD5/AD17</f>
        <v>9.0699461952344347</v>
      </c>
      <c r="AE18" s="67">
        <f t="shared" si="10"/>
        <v>32.975302832480736</v>
      </c>
      <c r="AF18" s="77">
        <f t="shared" si="1"/>
        <v>8.243825708120184</v>
      </c>
      <c r="AG18" s="81">
        <f>AG5/AG17</f>
        <v>8.5235920852359222</v>
      </c>
      <c r="AH18" s="81"/>
      <c r="AI18" s="81">
        <f>AI5/AI17</f>
        <v>9.1227193201699563</v>
      </c>
      <c r="AJ18" s="81">
        <f>AJ5/AJ17</f>
        <v>5.8354721059030119</v>
      </c>
      <c r="AK18" s="65">
        <f t="shared" si="2"/>
        <v>23.48178351130889</v>
      </c>
      <c r="AL18" s="65">
        <f t="shared" si="3"/>
        <v>7.8272611704362971</v>
      </c>
      <c r="AM18" s="78">
        <f>AM5/AM17</f>
        <v>10.777479892761395</v>
      </c>
      <c r="AN18" s="78">
        <f>AN5/AN17</f>
        <v>7.9714841218405708</v>
      </c>
      <c r="AO18" s="78">
        <f>AO5/AO17</f>
        <v>7.877461706783369</v>
      </c>
      <c r="AP18" s="78">
        <f>AP5/AP17</f>
        <v>9.0551181102362222</v>
      </c>
      <c r="AQ18" s="78">
        <f>AQ5/AQ17</f>
        <v>8.9899869394862861</v>
      </c>
      <c r="AR18" s="78">
        <f t="shared" si="4"/>
        <v>44.67153077110784</v>
      </c>
      <c r="AS18" s="78">
        <f t="shared" si="5"/>
        <v>8.9343061542215683</v>
      </c>
      <c r="AT18" s="81">
        <f>AT5/AT17</f>
        <v>7.8686816050026049</v>
      </c>
      <c r="AU18" s="81">
        <f>AU5/AU17</f>
        <v>10.545100584036341</v>
      </c>
      <c r="AV18" s="81">
        <f>AV5/AV17</f>
        <v>8.5585585585585591</v>
      </c>
      <c r="AW18" s="81">
        <f>AW5/AW17</f>
        <v>5.4321776641636044</v>
      </c>
      <c r="AX18" s="81"/>
      <c r="AY18" s="81">
        <f>AY5/AY17</f>
        <v>5.8377187614735044</v>
      </c>
      <c r="AZ18" s="79">
        <f t="shared" si="11"/>
        <v>38.242237173234614</v>
      </c>
      <c r="BA18" s="79">
        <f t="shared" si="6"/>
        <v>7.6484474346469229</v>
      </c>
      <c r="BB18" s="78">
        <f>BB5/BB17</f>
        <v>6.1214374225526642</v>
      </c>
      <c r="BC18" s="78">
        <f>BC5/BC17</f>
        <v>5.9506099375185961</v>
      </c>
      <c r="BD18" s="78">
        <f>BD5/BD17</f>
        <v>9.2132505175983432</v>
      </c>
      <c r="BE18" s="80">
        <f t="shared" si="7"/>
        <v>21.285297877669603</v>
      </c>
      <c r="BF18" s="102">
        <f t="shared" si="8"/>
        <v>7.0950992925565339</v>
      </c>
    </row>
    <row r="19" spans="1:59" ht="43.15" customHeight="1">
      <c r="A19" s="2" t="s">
        <v>186</v>
      </c>
      <c r="B19" s="160" t="s">
        <v>187</v>
      </c>
      <c r="C19" s="146">
        <v>3.6</v>
      </c>
      <c r="D19" s="58">
        <v>3.75</v>
      </c>
      <c r="E19" s="58">
        <v>4.75</v>
      </c>
      <c r="F19" s="58"/>
      <c r="G19" s="58">
        <v>1.57</v>
      </c>
      <c r="H19" s="58">
        <v>2.65</v>
      </c>
      <c r="I19" s="58">
        <v>2.76</v>
      </c>
      <c r="J19" s="59">
        <f t="shared" si="23"/>
        <v>19.079999999999998</v>
      </c>
      <c r="K19" s="60">
        <f t="shared" si="24"/>
        <v>3.1799999999999997</v>
      </c>
      <c r="L19" s="61">
        <v>1.6</v>
      </c>
      <c r="M19" s="61">
        <v>0.25</v>
      </c>
      <c r="N19" s="61"/>
      <c r="O19" s="61">
        <v>2</v>
      </c>
      <c r="P19" s="61">
        <v>1.7</v>
      </c>
      <c r="Q19" s="61">
        <v>0.5</v>
      </c>
      <c r="R19" s="61"/>
      <c r="S19" s="61">
        <v>2.85</v>
      </c>
      <c r="T19" s="76">
        <f t="shared" si="19"/>
        <v>38.140000000000008</v>
      </c>
      <c r="U19" s="76">
        <f t="shared" si="20"/>
        <v>4.2377777777777785</v>
      </c>
      <c r="V19" s="58">
        <v>0.7</v>
      </c>
      <c r="W19" s="58">
        <v>1.3</v>
      </c>
      <c r="X19" s="58">
        <v>2.52</v>
      </c>
      <c r="Y19" s="59">
        <f t="shared" si="14"/>
        <v>55.797777777777789</v>
      </c>
      <c r="Z19" s="59">
        <f t="shared" si="0"/>
        <v>6.1997530864197543</v>
      </c>
      <c r="AA19" s="63">
        <v>3</v>
      </c>
      <c r="AB19" s="63">
        <v>4</v>
      </c>
      <c r="AC19" s="63">
        <v>2.5</v>
      </c>
      <c r="AD19" s="63">
        <v>1.8</v>
      </c>
      <c r="AE19" s="67">
        <f t="shared" si="10"/>
        <v>11.3</v>
      </c>
      <c r="AF19" s="77">
        <f t="shared" si="1"/>
        <v>2.8250000000000002</v>
      </c>
      <c r="AG19" s="58">
        <v>4</v>
      </c>
      <c r="AH19" s="58"/>
      <c r="AI19" s="58">
        <v>4.0999999999999996</v>
      </c>
      <c r="AJ19" s="58">
        <v>6.8</v>
      </c>
      <c r="AK19" s="65">
        <f t="shared" si="2"/>
        <v>14.899999999999999</v>
      </c>
      <c r="AL19" s="65">
        <f t="shared" si="3"/>
        <v>4.9666666666666659</v>
      </c>
      <c r="AM19" s="61">
        <v>2</v>
      </c>
      <c r="AN19" s="61">
        <v>5</v>
      </c>
      <c r="AO19" s="61">
        <v>4.4800000000000004</v>
      </c>
      <c r="AP19" s="61">
        <v>3</v>
      </c>
      <c r="AQ19" s="61">
        <v>4.3499999999999996</v>
      </c>
      <c r="AR19" s="78">
        <f t="shared" si="4"/>
        <v>18.829999999999998</v>
      </c>
      <c r="AS19" s="78">
        <f t="shared" si="5"/>
        <v>3.7659999999999996</v>
      </c>
      <c r="AT19" s="58">
        <v>3.6</v>
      </c>
      <c r="AU19" s="58">
        <v>4</v>
      </c>
      <c r="AV19" s="58">
        <v>3</v>
      </c>
      <c r="AW19" s="58">
        <v>5.55</v>
      </c>
      <c r="AX19" s="58"/>
      <c r="AY19" s="58">
        <v>7</v>
      </c>
      <c r="AZ19" s="79">
        <f t="shared" si="11"/>
        <v>23.15</v>
      </c>
      <c r="BA19" s="79">
        <f t="shared" si="6"/>
        <v>4.63</v>
      </c>
      <c r="BB19" s="61">
        <v>4</v>
      </c>
      <c r="BC19" s="61">
        <v>4</v>
      </c>
      <c r="BD19" s="61">
        <v>3.6</v>
      </c>
      <c r="BE19" s="80">
        <f t="shared" si="7"/>
        <v>11.6</v>
      </c>
      <c r="BF19" s="102">
        <f t="shared" si="8"/>
        <v>3.8666666666666667</v>
      </c>
    </row>
    <row r="20" spans="1:59" ht="46.15" customHeight="1">
      <c r="A20" s="2" t="s">
        <v>188</v>
      </c>
      <c r="B20" s="160" t="s">
        <v>189</v>
      </c>
      <c r="C20" s="146">
        <v>28.72</v>
      </c>
      <c r="D20" s="58">
        <v>23.09</v>
      </c>
      <c r="E20" s="58">
        <v>43.75</v>
      </c>
      <c r="F20" s="58"/>
      <c r="G20" s="58">
        <v>11.34</v>
      </c>
      <c r="H20" s="58">
        <v>17.350000000000001</v>
      </c>
      <c r="I20" s="58">
        <v>19.440000000000001</v>
      </c>
      <c r="J20" s="59">
        <f t="shared" si="23"/>
        <v>143.69</v>
      </c>
      <c r="K20" s="60">
        <f t="shared" si="24"/>
        <v>23.948333333333334</v>
      </c>
      <c r="L20" s="61">
        <v>3.86</v>
      </c>
      <c r="M20" s="61">
        <v>2</v>
      </c>
      <c r="N20" s="61"/>
      <c r="O20" s="61">
        <v>7.94</v>
      </c>
      <c r="P20" s="61">
        <v>8.27</v>
      </c>
      <c r="Q20" s="61">
        <v>1.0900000000000001</v>
      </c>
      <c r="R20" s="61"/>
      <c r="S20" s="61">
        <v>6.5</v>
      </c>
      <c r="T20" s="76">
        <f t="shared" si="19"/>
        <v>245.42833333333334</v>
      </c>
      <c r="U20" s="76">
        <f t="shared" si="20"/>
        <v>27.269814814814815</v>
      </c>
      <c r="V20" s="58">
        <v>4.49</v>
      </c>
      <c r="W20" s="58">
        <v>5.63</v>
      </c>
      <c r="X20" s="58">
        <v>13.13</v>
      </c>
      <c r="Y20" s="59">
        <f t="shared" si="14"/>
        <v>325.60814814814819</v>
      </c>
      <c r="Z20" s="59">
        <f t="shared" si="0"/>
        <v>36.178683127572022</v>
      </c>
      <c r="AA20" s="63">
        <v>22.32</v>
      </c>
      <c r="AB20" s="63">
        <v>33.619999999999997</v>
      </c>
      <c r="AC20" s="63">
        <v>16.2</v>
      </c>
      <c r="AD20" s="63">
        <v>20.8</v>
      </c>
      <c r="AE20" s="67">
        <f t="shared" si="10"/>
        <v>92.94</v>
      </c>
      <c r="AF20" s="77">
        <f t="shared" si="1"/>
        <v>23.234999999999999</v>
      </c>
      <c r="AG20" s="58">
        <v>35.97</v>
      </c>
      <c r="AH20" s="58"/>
      <c r="AI20" s="58">
        <v>30.29</v>
      </c>
      <c r="AJ20" s="58">
        <v>58.04</v>
      </c>
      <c r="AK20" s="65">
        <f t="shared" si="2"/>
        <v>124.29999999999998</v>
      </c>
      <c r="AL20" s="65">
        <f t="shared" si="3"/>
        <v>41.43333333333333</v>
      </c>
      <c r="AM20" s="61">
        <v>15.52</v>
      </c>
      <c r="AN20" s="61">
        <v>21.43</v>
      </c>
      <c r="AO20" s="61">
        <v>14.04</v>
      </c>
      <c r="AP20" s="61">
        <v>14.69</v>
      </c>
      <c r="AQ20" s="61">
        <v>38.79</v>
      </c>
      <c r="AR20" s="78">
        <f t="shared" si="4"/>
        <v>104.47</v>
      </c>
      <c r="AS20" s="78">
        <f t="shared" si="5"/>
        <v>20.893999999999998</v>
      </c>
      <c r="AT20" s="58">
        <v>28.28</v>
      </c>
      <c r="AU20" s="58">
        <v>22.97</v>
      </c>
      <c r="AV20" s="58">
        <v>24.54</v>
      </c>
      <c r="AW20" s="58">
        <v>49.13</v>
      </c>
      <c r="AX20" s="58"/>
      <c r="AY20" s="58">
        <v>58.1</v>
      </c>
      <c r="AZ20" s="79">
        <f t="shared" si="11"/>
        <v>183.01999999999998</v>
      </c>
      <c r="BA20" s="79">
        <f t="shared" si="6"/>
        <v>36.603999999999999</v>
      </c>
      <c r="BB20" s="61">
        <v>31.35</v>
      </c>
      <c r="BC20" s="61">
        <v>22.94</v>
      </c>
      <c r="BD20" s="61">
        <v>23.13</v>
      </c>
      <c r="BE20" s="80">
        <f t="shared" si="7"/>
        <v>77.42</v>
      </c>
      <c r="BF20" s="102">
        <f t="shared" si="8"/>
        <v>25.806666666666668</v>
      </c>
    </row>
    <row r="21" spans="1:59" ht="43.15" customHeight="1">
      <c r="A21" s="2" t="s">
        <v>190</v>
      </c>
      <c r="B21" s="160" t="s">
        <v>183</v>
      </c>
      <c r="C21" s="146">
        <v>4.8499999999999996</v>
      </c>
      <c r="D21" s="58">
        <v>5.8</v>
      </c>
      <c r="E21" s="58">
        <v>0</v>
      </c>
      <c r="F21" s="58"/>
      <c r="G21" s="58">
        <v>2.5</v>
      </c>
      <c r="H21" s="58">
        <v>3</v>
      </c>
      <c r="I21" s="58">
        <v>2.14</v>
      </c>
      <c r="J21" s="59">
        <f t="shared" si="23"/>
        <v>18.29</v>
      </c>
      <c r="K21" s="60">
        <f t="shared" si="24"/>
        <v>3.0483333333333333</v>
      </c>
      <c r="L21" s="61">
        <v>0.3</v>
      </c>
      <c r="M21" s="61">
        <v>0.72</v>
      </c>
      <c r="N21" s="61"/>
      <c r="O21" s="61">
        <v>1.54</v>
      </c>
      <c r="P21" s="61">
        <v>0.14000000000000001</v>
      </c>
      <c r="Q21" s="61">
        <v>0.44</v>
      </c>
      <c r="R21" s="61"/>
      <c r="S21" s="61">
        <v>2.1</v>
      </c>
      <c r="T21" s="76">
        <f t="shared" si="19"/>
        <v>34.218333333333334</v>
      </c>
      <c r="U21" s="76">
        <f t="shared" si="20"/>
        <v>3.8020370370370369</v>
      </c>
      <c r="V21" s="58">
        <v>0.43</v>
      </c>
      <c r="W21" s="58">
        <v>0.95</v>
      </c>
      <c r="X21" s="58">
        <v>1.42</v>
      </c>
      <c r="Y21" s="59">
        <f t="shared" si="14"/>
        <v>46.060370370370379</v>
      </c>
      <c r="Z21" s="59">
        <f t="shared" si="0"/>
        <v>5.1178189300411532</v>
      </c>
      <c r="AA21" s="63">
        <v>2.5</v>
      </c>
      <c r="AB21" s="63">
        <v>3.1</v>
      </c>
      <c r="AC21" s="63">
        <v>3.99</v>
      </c>
      <c r="AD21" s="63">
        <v>1.82</v>
      </c>
      <c r="AE21" s="67">
        <f t="shared" si="10"/>
        <v>11.41</v>
      </c>
      <c r="AF21" s="77">
        <f t="shared" si="1"/>
        <v>2.8525</v>
      </c>
      <c r="AG21" s="58">
        <v>6.02</v>
      </c>
      <c r="AH21" s="58"/>
      <c r="AI21" s="58">
        <v>4.67</v>
      </c>
      <c r="AJ21" s="58">
        <v>5.69</v>
      </c>
      <c r="AK21" s="65">
        <f t="shared" si="2"/>
        <v>16.38</v>
      </c>
      <c r="AL21" s="65">
        <f t="shared" si="3"/>
        <v>5.46</v>
      </c>
      <c r="AM21" s="61">
        <v>1.1299999999999999</v>
      </c>
      <c r="AN21" s="61">
        <v>3.9</v>
      </c>
      <c r="AO21" s="61">
        <v>3.78</v>
      </c>
      <c r="AP21" s="61">
        <v>2.63</v>
      </c>
      <c r="AQ21" s="61">
        <v>2.8</v>
      </c>
      <c r="AR21" s="78">
        <f t="shared" si="4"/>
        <v>14.239999999999998</v>
      </c>
      <c r="AS21" s="78">
        <f t="shared" si="5"/>
        <v>2.8479999999999999</v>
      </c>
      <c r="AT21" s="58">
        <v>6.5</v>
      </c>
      <c r="AU21" s="58">
        <v>3.85</v>
      </c>
      <c r="AV21" s="58">
        <v>4.75</v>
      </c>
      <c r="AW21" s="58">
        <v>6.94</v>
      </c>
      <c r="AX21" s="58"/>
      <c r="AY21" s="58">
        <v>16.61</v>
      </c>
      <c r="AZ21" s="79">
        <f t="shared" si="11"/>
        <v>38.65</v>
      </c>
      <c r="BA21" s="79">
        <f t="shared" si="6"/>
        <v>7.7299999999999995</v>
      </c>
      <c r="BB21" s="61">
        <v>4</v>
      </c>
      <c r="BC21" s="61">
        <v>5.5</v>
      </c>
      <c r="BD21" s="61">
        <v>0.63</v>
      </c>
      <c r="BE21" s="80">
        <f t="shared" si="7"/>
        <v>10.130000000000001</v>
      </c>
      <c r="BF21" s="102">
        <f t="shared" si="8"/>
        <v>3.3766666666666669</v>
      </c>
    </row>
    <row r="22" spans="1:59" ht="43.15" customHeight="1">
      <c r="A22" s="2" t="s">
        <v>191</v>
      </c>
      <c r="B22" s="160" t="s">
        <v>192</v>
      </c>
      <c r="C22" s="146">
        <v>0</v>
      </c>
      <c r="D22" s="58">
        <v>1.4</v>
      </c>
      <c r="E22" s="58">
        <v>5.9</v>
      </c>
      <c r="F22" s="58"/>
      <c r="G22" s="58">
        <v>0</v>
      </c>
      <c r="H22" s="58">
        <v>1</v>
      </c>
      <c r="I22" s="58">
        <v>0.1</v>
      </c>
      <c r="J22" s="59">
        <f t="shared" si="23"/>
        <v>8.4</v>
      </c>
      <c r="K22" s="60">
        <f t="shared" si="24"/>
        <v>1.4000000000000001</v>
      </c>
      <c r="L22" s="61">
        <v>0</v>
      </c>
      <c r="M22" s="61">
        <v>0.45</v>
      </c>
      <c r="N22" s="61"/>
      <c r="O22" s="61">
        <v>0</v>
      </c>
      <c r="P22" s="61">
        <v>0</v>
      </c>
      <c r="Q22" s="61">
        <v>0</v>
      </c>
      <c r="R22" s="61"/>
      <c r="S22" s="61">
        <v>1</v>
      </c>
      <c r="T22" s="76">
        <f t="shared" si="19"/>
        <v>12.35</v>
      </c>
      <c r="U22" s="76">
        <f t="shared" si="20"/>
        <v>1.3722222222222222</v>
      </c>
      <c r="V22" s="58">
        <v>0</v>
      </c>
      <c r="W22" s="58">
        <v>0.17</v>
      </c>
      <c r="X22" s="58">
        <v>0</v>
      </c>
      <c r="Y22" s="59">
        <f t="shared" si="14"/>
        <v>15.342222222222221</v>
      </c>
      <c r="Z22" s="59">
        <f t="shared" si="0"/>
        <v>1.7046913580246912</v>
      </c>
      <c r="AA22" s="63">
        <v>0</v>
      </c>
      <c r="AB22" s="63">
        <v>0</v>
      </c>
      <c r="AC22" s="63">
        <v>4.78</v>
      </c>
      <c r="AD22" s="63">
        <v>1.6</v>
      </c>
      <c r="AE22" s="67">
        <f t="shared" si="10"/>
        <v>6.3800000000000008</v>
      </c>
      <c r="AF22" s="77">
        <f t="shared" si="1"/>
        <v>1.5950000000000002</v>
      </c>
      <c r="AG22" s="58">
        <v>0</v>
      </c>
      <c r="AH22" s="58"/>
      <c r="AI22" s="58">
        <v>0.95</v>
      </c>
      <c r="AJ22" s="58">
        <v>3.5</v>
      </c>
      <c r="AK22" s="65">
        <f t="shared" si="2"/>
        <v>4.45</v>
      </c>
      <c r="AL22" s="65">
        <f t="shared" si="3"/>
        <v>1.4833333333333334</v>
      </c>
      <c r="AM22" s="61">
        <v>0</v>
      </c>
      <c r="AN22" s="61">
        <v>0.53</v>
      </c>
      <c r="AO22" s="61">
        <v>0.55000000000000004</v>
      </c>
      <c r="AP22" s="61">
        <v>0</v>
      </c>
      <c r="AQ22" s="61">
        <v>0</v>
      </c>
      <c r="AR22" s="78">
        <f t="shared" si="4"/>
        <v>1.08</v>
      </c>
      <c r="AS22" s="78">
        <f t="shared" si="5"/>
        <v>0.21600000000000003</v>
      </c>
      <c r="AT22" s="58">
        <v>0</v>
      </c>
      <c r="AU22" s="58">
        <v>0</v>
      </c>
      <c r="AV22" s="58">
        <v>1.01</v>
      </c>
      <c r="AW22" s="58">
        <v>0.97</v>
      </c>
      <c r="AX22" s="58"/>
      <c r="AY22" s="58">
        <v>0</v>
      </c>
      <c r="AZ22" s="79">
        <f t="shared" si="11"/>
        <v>1.98</v>
      </c>
      <c r="BA22" s="79">
        <f t="shared" si="6"/>
        <v>0.39600000000000002</v>
      </c>
      <c r="BB22" s="61">
        <v>1</v>
      </c>
      <c r="BC22" s="61">
        <v>1.17</v>
      </c>
      <c r="BD22" s="61">
        <v>1.62</v>
      </c>
      <c r="BE22" s="80">
        <f t="shared" si="7"/>
        <v>3.79</v>
      </c>
      <c r="BF22" s="102">
        <f t="shared" si="8"/>
        <v>1.2633333333333334</v>
      </c>
    </row>
    <row r="23" spans="1:59" ht="19.899999999999999" hidden="1" customHeight="1">
      <c r="A23" s="2" t="s">
        <v>193</v>
      </c>
      <c r="B23" s="160"/>
      <c r="C23" s="146"/>
      <c r="D23" s="58"/>
      <c r="E23" s="58"/>
      <c r="F23" s="58"/>
      <c r="G23" s="58"/>
      <c r="H23" s="58"/>
      <c r="I23" s="58"/>
      <c r="J23" s="59"/>
      <c r="K23" s="60"/>
      <c r="L23" s="61"/>
      <c r="M23" s="61"/>
      <c r="N23" s="61"/>
      <c r="O23" s="61"/>
      <c r="P23" s="61"/>
      <c r="Q23" s="61"/>
      <c r="R23" s="61"/>
      <c r="S23" s="61"/>
      <c r="T23" s="76">
        <f t="shared" si="19"/>
        <v>0</v>
      </c>
      <c r="U23" s="76">
        <f t="shared" si="20"/>
        <v>0</v>
      </c>
      <c r="V23" s="58"/>
      <c r="W23" s="58"/>
      <c r="X23" s="58"/>
      <c r="Y23" s="59">
        <f t="shared" si="14"/>
        <v>0</v>
      </c>
      <c r="Z23" s="59">
        <f t="shared" si="0"/>
        <v>0</v>
      </c>
      <c r="AA23" s="63"/>
      <c r="AB23" s="63"/>
      <c r="AC23" s="63"/>
      <c r="AD23" s="63"/>
      <c r="AE23" s="67">
        <f t="shared" si="10"/>
        <v>0</v>
      </c>
      <c r="AF23" s="64">
        <f t="shared" si="1"/>
        <v>0</v>
      </c>
      <c r="AG23" s="58"/>
      <c r="AH23" s="58"/>
      <c r="AI23" s="58"/>
      <c r="AJ23" s="58"/>
      <c r="AK23" s="65">
        <f t="shared" si="2"/>
        <v>0</v>
      </c>
      <c r="AL23" s="65">
        <f t="shared" si="3"/>
        <v>0</v>
      </c>
      <c r="AM23" s="61"/>
      <c r="AN23" s="61"/>
      <c r="AO23" s="61"/>
      <c r="AP23" s="61"/>
      <c r="AQ23" s="61"/>
      <c r="AR23" s="82">
        <f t="shared" si="4"/>
        <v>0</v>
      </c>
      <c r="AS23" s="82">
        <f t="shared" si="5"/>
        <v>0</v>
      </c>
      <c r="AT23" s="58"/>
      <c r="AU23" s="58"/>
      <c r="AV23" s="58"/>
      <c r="AW23" s="58"/>
      <c r="AX23" s="58"/>
      <c r="AY23" s="58"/>
      <c r="AZ23" s="60">
        <f t="shared" si="11"/>
        <v>0</v>
      </c>
      <c r="BA23" s="60">
        <f t="shared" si="6"/>
        <v>0</v>
      </c>
      <c r="BB23" s="61"/>
      <c r="BC23" s="61"/>
      <c r="BD23" s="61"/>
      <c r="BE23" s="66">
        <f t="shared" si="7"/>
        <v>0</v>
      </c>
      <c r="BF23" s="85">
        <f t="shared" si="8"/>
        <v>0</v>
      </c>
    </row>
    <row r="24" spans="1:59" ht="28.5" hidden="1">
      <c r="A24" s="2" t="s">
        <v>194</v>
      </c>
      <c r="B24" s="160" t="s">
        <v>183</v>
      </c>
      <c r="C24" s="146"/>
      <c r="D24" s="58"/>
      <c r="E24" s="58"/>
      <c r="F24" s="58"/>
      <c r="G24" s="58"/>
      <c r="H24" s="58"/>
      <c r="I24" s="58"/>
      <c r="J24" s="59"/>
      <c r="K24" s="60"/>
      <c r="L24" s="61"/>
      <c r="M24" s="61"/>
      <c r="N24" s="61"/>
      <c r="O24" s="61"/>
      <c r="P24" s="61"/>
      <c r="Q24" s="61"/>
      <c r="R24" s="61"/>
      <c r="S24" s="61"/>
      <c r="T24" s="76">
        <f t="shared" si="19"/>
        <v>0</v>
      </c>
      <c r="U24" s="76">
        <f t="shared" si="20"/>
        <v>0</v>
      </c>
      <c r="V24" s="58"/>
      <c r="W24" s="58"/>
      <c r="X24" s="58"/>
      <c r="Y24" s="59">
        <f t="shared" si="14"/>
        <v>0</v>
      </c>
      <c r="Z24" s="59">
        <f t="shared" si="0"/>
        <v>0</v>
      </c>
      <c r="AA24" s="63"/>
      <c r="AB24" s="63"/>
      <c r="AC24" s="63"/>
      <c r="AD24" s="63"/>
      <c r="AE24" s="67">
        <f t="shared" si="10"/>
        <v>0</v>
      </c>
      <c r="AF24" s="64">
        <f t="shared" si="1"/>
        <v>0</v>
      </c>
      <c r="AG24" s="58"/>
      <c r="AH24" s="58"/>
      <c r="AI24" s="58"/>
      <c r="AJ24" s="58"/>
      <c r="AK24" s="65">
        <f t="shared" si="2"/>
        <v>0</v>
      </c>
      <c r="AL24" s="65">
        <f t="shared" si="3"/>
        <v>0</v>
      </c>
      <c r="AM24" s="61"/>
      <c r="AN24" s="61"/>
      <c r="AO24" s="61"/>
      <c r="AP24" s="61"/>
      <c r="AQ24" s="61"/>
      <c r="AR24" s="82">
        <f t="shared" si="4"/>
        <v>0</v>
      </c>
      <c r="AS24" s="82">
        <f t="shared" si="5"/>
        <v>0</v>
      </c>
      <c r="AT24" s="58"/>
      <c r="AU24" s="58"/>
      <c r="AV24" s="58"/>
      <c r="AW24" s="58"/>
      <c r="AX24" s="58"/>
      <c r="AY24" s="58"/>
      <c r="AZ24" s="60">
        <f t="shared" si="11"/>
        <v>0</v>
      </c>
      <c r="BA24" s="60">
        <f t="shared" si="6"/>
        <v>0</v>
      </c>
      <c r="BB24" s="61"/>
      <c r="BC24" s="61"/>
      <c r="BD24" s="61"/>
      <c r="BE24" s="66">
        <f t="shared" si="7"/>
        <v>0</v>
      </c>
      <c r="BF24" s="85">
        <f t="shared" si="8"/>
        <v>0</v>
      </c>
    </row>
    <row r="25" spans="1:59" ht="19.899999999999999" hidden="1" customHeight="1">
      <c r="A25" s="2" t="s">
        <v>193</v>
      </c>
      <c r="B25" s="160"/>
      <c r="C25" s="146"/>
      <c r="D25" s="58"/>
      <c r="E25" s="58"/>
      <c r="F25" s="58"/>
      <c r="G25" s="58"/>
      <c r="H25" s="58"/>
      <c r="I25" s="58"/>
      <c r="J25" s="59"/>
      <c r="K25" s="60"/>
      <c r="L25" s="61"/>
      <c r="M25" s="61"/>
      <c r="N25" s="61"/>
      <c r="O25" s="61"/>
      <c r="P25" s="61"/>
      <c r="Q25" s="61"/>
      <c r="R25" s="61"/>
      <c r="S25" s="61"/>
      <c r="T25" s="76">
        <f t="shared" si="19"/>
        <v>0</v>
      </c>
      <c r="U25" s="76">
        <f t="shared" si="20"/>
        <v>0</v>
      </c>
      <c r="V25" s="58"/>
      <c r="W25" s="58"/>
      <c r="X25" s="58"/>
      <c r="Y25" s="59">
        <f t="shared" si="14"/>
        <v>0</v>
      </c>
      <c r="Z25" s="59">
        <f t="shared" si="0"/>
        <v>0</v>
      </c>
      <c r="AA25" s="63"/>
      <c r="AB25" s="63"/>
      <c r="AC25" s="63"/>
      <c r="AD25" s="63"/>
      <c r="AE25" s="67">
        <f t="shared" si="10"/>
        <v>0</v>
      </c>
      <c r="AF25" s="64">
        <f t="shared" si="1"/>
        <v>0</v>
      </c>
      <c r="AG25" s="58"/>
      <c r="AH25" s="58"/>
      <c r="AI25" s="58"/>
      <c r="AJ25" s="58"/>
      <c r="AK25" s="65">
        <f t="shared" si="2"/>
        <v>0</v>
      </c>
      <c r="AL25" s="65">
        <f t="shared" si="3"/>
        <v>0</v>
      </c>
      <c r="AM25" s="61"/>
      <c r="AN25" s="61"/>
      <c r="AO25" s="61"/>
      <c r="AP25" s="61"/>
      <c r="AQ25" s="61"/>
      <c r="AR25" s="82">
        <f t="shared" si="4"/>
        <v>0</v>
      </c>
      <c r="AS25" s="82">
        <f t="shared" si="5"/>
        <v>0</v>
      </c>
      <c r="AT25" s="58"/>
      <c r="AU25" s="58"/>
      <c r="AV25" s="58"/>
      <c r="AW25" s="58"/>
      <c r="AX25" s="58"/>
      <c r="AY25" s="58"/>
      <c r="AZ25" s="60">
        <f t="shared" si="11"/>
        <v>0</v>
      </c>
      <c r="BA25" s="60">
        <f t="shared" si="6"/>
        <v>0</v>
      </c>
      <c r="BB25" s="61"/>
      <c r="BC25" s="61"/>
      <c r="BD25" s="61"/>
      <c r="BE25" s="66">
        <f t="shared" si="7"/>
        <v>0</v>
      </c>
      <c r="BF25" s="85">
        <f t="shared" si="8"/>
        <v>0</v>
      </c>
    </row>
    <row r="26" spans="1:59" ht="45.75" hidden="1" customHeight="1">
      <c r="A26" s="2" t="s">
        <v>195</v>
      </c>
      <c r="B26" s="160" t="s">
        <v>196</v>
      </c>
      <c r="C26" s="146"/>
      <c r="D26" s="58"/>
      <c r="E26" s="58"/>
      <c r="F26" s="58"/>
      <c r="G26" s="58"/>
      <c r="H26" s="58"/>
      <c r="I26" s="58"/>
      <c r="J26" s="59"/>
      <c r="K26" s="60"/>
      <c r="L26" s="61"/>
      <c r="M26" s="61"/>
      <c r="N26" s="61"/>
      <c r="O26" s="61"/>
      <c r="P26" s="61"/>
      <c r="Q26" s="61"/>
      <c r="R26" s="61"/>
      <c r="S26" s="61"/>
      <c r="T26" s="76">
        <f t="shared" si="19"/>
        <v>0</v>
      </c>
      <c r="U26" s="76">
        <f t="shared" si="20"/>
        <v>0</v>
      </c>
      <c r="V26" s="58"/>
      <c r="W26" s="58"/>
      <c r="X26" s="58"/>
      <c r="Y26" s="59">
        <f t="shared" si="14"/>
        <v>0</v>
      </c>
      <c r="Z26" s="59">
        <f t="shared" si="0"/>
        <v>0</v>
      </c>
      <c r="AA26" s="63"/>
      <c r="AB26" s="63"/>
      <c r="AC26" s="63"/>
      <c r="AD26" s="63"/>
      <c r="AE26" s="67">
        <f t="shared" si="10"/>
        <v>0</v>
      </c>
      <c r="AF26" s="64">
        <f t="shared" si="1"/>
        <v>0</v>
      </c>
      <c r="AG26" s="58"/>
      <c r="AH26" s="58"/>
      <c r="AI26" s="58"/>
      <c r="AJ26" s="58"/>
      <c r="AK26" s="65">
        <f t="shared" si="2"/>
        <v>0</v>
      </c>
      <c r="AL26" s="65">
        <f t="shared" si="3"/>
        <v>0</v>
      </c>
      <c r="AM26" s="61"/>
      <c r="AN26" s="61"/>
      <c r="AO26" s="61"/>
      <c r="AP26" s="61"/>
      <c r="AQ26" s="61"/>
      <c r="AR26" s="82">
        <f t="shared" si="4"/>
        <v>0</v>
      </c>
      <c r="AS26" s="82">
        <f t="shared" si="5"/>
        <v>0</v>
      </c>
      <c r="AT26" s="58"/>
      <c r="AU26" s="58"/>
      <c r="AV26" s="58"/>
      <c r="AW26" s="58"/>
      <c r="AX26" s="58"/>
      <c r="AY26" s="58"/>
      <c r="AZ26" s="60">
        <f t="shared" si="11"/>
        <v>0</v>
      </c>
      <c r="BA26" s="60">
        <f t="shared" si="6"/>
        <v>0</v>
      </c>
      <c r="BB26" s="61"/>
      <c r="BC26" s="61"/>
      <c r="BD26" s="61"/>
      <c r="BE26" s="66">
        <f t="shared" si="7"/>
        <v>0</v>
      </c>
      <c r="BF26" s="85">
        <f t="shared" si="8"/>
        <v>0</v>
      </c>
    </row>
    <row r="27" spans="1:59" ht="19.899999999999999" hidden="1" customHeight="1">
      <c r="A27" s="2" t="s">
        <v>193</v>
      </c>
      <c r="B27" s="160"/>
      <c r="C27" s="146"/>
      <c r="D27" s="58"/>
      <c r="E27" s="58"/>
      <c r="F27" s="58"/>
      <c r="G27" s="58"/>
      <c r="H27" s="58"/>
      <c r="I27" s="58"/>
      <c r="J27" s="59"/>
      <c r="K27" s="60"/>
      <c r="L27" s="61"/>
      <c r="M27" s="61"/>
      <c r="N27" s="61"/>
      <c r="O27" s="61"/>
      <c r="P27" s="61"/>
      <c r="Q27" s="61"/>
      <c r="R27" s="61"/>
      <c r="S27" s="61"/>
      <c r="T27" s="76">
        <f t="shared" si="19"/>
        <v>0</v>
      </c>
      <c r="U27" s="76">
        <f t="shared" si="20"/>
        <v>0</v>
      </c>
      <c r="V27" s="58"/>
      <c r="W27" s="58"/>
      <c r="X27" s="58"/>
      <c r="Y27" s="59">
        <f t="shared" si="14"/>
        <v>0</v>
      </c>
      <c r="Z27" s="59">
        <f t="shared" si="0"/>
        <v>0</v>
      </c>
      <c r="AA27" s="63"/>
      <c r="AB27" s="63"/>
      <c r="AC27" s="63"/>
      <c r="AD27" s="63"/>
      <c r="AE27" s="67">
        <f t="shared" si="10"/>
        <v>0</v>
      </c>
      <c r="AF27" s="64">
        <f t="shared" si="1"/>
        <v>0</v>
      </c>
      <c r="AG27" s="58"/>
      <c r="AH27" s="58"/>
      <c r="AI27" s="58"/>
      <c r="AJ27" s="58"/>
      <c r="AK27" s="65">
        <f t="shared" si="2"/>
        <v>0</v>
      </c>
      <c r="AL27" s="65">
        <f t="shared" si="3"/>
        <v>0</v>
      </c>
      <c r="AM27" s="61"/>
      <c r="AN27" s="61"/>
      <c r="AO27" s="61"/>
      <c r="AP27" s="61"/>
      <c r="AQ27" s="61"/>
      <c r="AR27" s="82">
        <f t="shared" si="4"/>
        <v>0</v>
      </c>
      <c r="AS27" s="82">
        <f t="shared" si="5"/>
        <v>0</v>
      </c>
      <c r="AT27" s="58"/>
      <c r="AU27" s="58"/>
      <c r="AV27" s="58"/>
      <c r="AW27" s="58"/>
      <c r="AX27" s="58"/>
      <c r="AY27" s="58"/>
      <c r="AZ27" s="60">
        <f t="shared" si="11"/>
        <v>0</v>
      </c>
      <c r="BA27" s="60">
        <f t="shared" si="6"/>
        <v>0</v>
      </c>
      <c r="BB27" s="61"/>
      <c r="BC27" s="61"/>
      <c r="BD27" s="61"/>
      <c r="BE27" s="66">
        <f t="shared" si="7"/>
        <v>0</v>
      </c>
      <c r="BF27" s="85">
        <f t="shared" si="8"/>
        <v>0</v>
      </c>
    </row>
    <row r="28" spans="1:59" ht="47.25" hidden="1" customHeight="1">
      <c r="A28" s="2" t="s">
        <v>197</v>
      </c>
      <c r="B28" s="160" t="s">
        <v>196</v>
      </c>
      <c r="C28" s="146"/>
      <c r="D28" s="58"/>
      <c r="E28" s="58"/>
      <c r="F28" s="58"/>
      <c r="G28" s="58"/>
      <c r="H28" s="58"/>
      <c r="I28" s="58"/>
      <c r="J28" s="59"/>
      <c r="K28" s="60"/>
      <c r="L28" s="61"/>
      <c r="M28" s="61"/>
      <c r="N28" s="61"/>
      <c r="O28" s="61"/>
      <c r="P28" s="61"/>
      <c r="Q28" s="61"/>
      <c r="R28" s="61"/>
      <c r="S28" s="61"/>
      <c r="T28" s="76">
        <f t="shared" si="19"/>
        <v>0</v>
      </c>
      <c r="U28" s="76">
        <f t="shared" si="20"/>
        <v>0</v>
      </c>
      <c r="V28" s="58"/>
      <c r="W28" s="58"/>
      <c r="X28" s="58"/>
      <c r="Y28" s="59">
        <f t="shared" si="14"/>
        <v>0</v>
      </c>
      <c r="Z28" s="59">
        <f t="shared" si="0"/>
        <v>0</v>
      </c>
      <c r="AA28" s="63"/>
      <c r="AB28" s="63"/>
      <c r="AC28" s="63"/>
      <c r="AD28" s="63"/>
      <c r="AE28" s="67">
        <f t="shared" si="10"/>
        <v>0</v>
      </c>
      <c r="AF28" s="64">
        <f t="shared" si="1"/>
        <v>0</v>
      </c>
      <c r="AG28" s="58"/>
      <c r="AH28" s="58"/>
      <c r="AI28" s="58"/>
      <c r="AJ28" s="58"/>
      <c r="AK28" s="65">
        <f t="shared" si="2"/>
        <v>0</v>
      </c>
      <c r="AL28" s="65">
        <f t="shared" si="3"/>
        <v>0</v>
      </c>
      <c r="AM28" s="61"/>
      <c r="AN28" s="61"/>
      <c r="AO28" s="61"/>
      <c r="AP28" s="61"/>
      <c r="AQ28" s="61"/>
      <c r="AR28" s="82">
        <f t="shared" si="4"/>
        <v>0</v>
      </c>
      <c r="AS28" s="82">
        <f t="shared" si="5"/>
        <v>0</v>
      </c>
      <c r="AT28" s="58"/>
      <c r="AU28" s="58"/>
      <c r="AV28" s="58"/>
      <c r="AW28" s="58"/>
      <c r="AX28" s="58"/>
      <c r="AY28" s="58"/>
      <c r="AZ28" s="60">
        <f t="shared" si="11"/>
        <v>0</v>
      </c>
      <c r="BA28" s="60">
        <f t="shared" si="6"/>
        <v>0</v>
      </c>
      <c r="BB28" s="61"/>
      <c r="BC28" s="61"/>
      <c r="BD28" s="61"/>
      <c r="BE28" s="66">
        <f t="shared" si="7"/>
        <v>0</v>
      </c>
      <c r="BF28" s="85">
        <f t="shared" si="8"/>
        <v>0</v>
      </c>
    </row>
    <row r="29" spans="1:59" ht="19.899999999999999" hidden="1" customHeight="1">
      <c r="A29" s="2" t="s">
        <v>193</v>
      </c>
      <c r="B29" s="160"/>
      <c r="C29" s="146"/>
      <c r="D29" s="58"/>
      <c r="E29" s="58"/>
      <c r="F29" s="58"/>
      <c r="G29" s="58"/>
      <c r="H29" s="58"/>
      <c r="I29" s="58"/>
      <c r="J29" s="59"/>
      <c r="K29" s="60"/>
      <c r="L29" s="61"/>
      <c r="M29" s="61"/>
      <c r="N29" s="61"/>
      <c r="O29" s="61"/>
      <c r="P29" s="61"/>
      <c r="Q29" s="61"/>
      <c r="R29" s="61"/>
      <c r="S29" s="61"/>
      <c r="T29" s="76">
        <f t="shared" si="19"/>
        <v>0</v>
      </c>
      <c r="U29" s="76">
        <f t="shared" si="20"/>
        <v>0</v>
      </c>
      <c r="V29" s="58"/>
      <c r="W29" s="58"/>
      <c r="X29" s="58"/>
      <c r="Y29" s="59">
        <f t="shared" si="14"/>
        <v>0</v>
      </c>
      <c r="Z29" s="59">
        <f t="shared" si="0"/>
        <v>0</v>
      </c>
      <c r="AA29" s="63"/>
      <c r="AB29" s="63"/>
      <c r="AC29" s="63"/>
      <c r="AD29" s="63"/>
      <c r="AE29" s="67">
        <f t="shared" si="10"/>
        <v>0</v>
      </c>
      <c r="AF29" s="64">
        <f t="shared" si="1"/>
        <v>0</v>
      </c>
      <c r="AG29" s="58"/>
      <c r="AH29" s="58"/>
      <c r="AI29" s="58"/>
      <c r="AJ29" s="58"/>
      <c r="AK29" s="65">
        <f t="shared" si="2"/>
        <v>0</v>
      </c>
      <c r="AL29" s="65">
        <f t="shared" si="3"/>
        <v>0</v>
      </c>
      <c r="AM29" s="61"/>
      <c r="AN29" s="61"/>
      <c r="AO29" s="61"/>
      <c r="AP29" s="61"/>
      <c r="AQ29" s="61"/>
      <c r="AR29" s="82">
        <f t="shared" si="4"/>
        <v>0</v>
      </c>
      <c r="AS29" s="82">
        <f t="shared" si="5"/>
        <v>0</v>
      </c>
      <c r="AT29" s="58"/>
      <c r="AU29" s="58"/>
      <c r="AV29" s="58"/>
      <c r="AW29" s="58"/>
      <c r="AX29" s="58"/>
      <c r="AY29" s="58"/>
      <c r="AZ29" s="60">
        <f t="shared" si="11"/>
        <v>0</v>
      </c>
      <c r="BA29" s="60">
        <f t="shared" si="6"/>
        <v>0</v>
      </c>
      <c r="BB29" s="61"/>
      <c r="BC29" s="61"/>
      <c r="BD29" s="61"/>
      <c r="BE29" s="66">
        <f t="shared" si="7"/>
        <v>0</v>
      </c>
      <c r="BF29" s="85">
        <f t="shared" si="8"/>
        <v>0</v>
      </c>
    </row>
    <row r="30" spans="1:59" ht="39.75" customHeight="1">
      <c r="A30" s="2" t="s">
        <v>198</v>
      </c>
      <c r="B30" s="160" t="s">
        <v>199</v>
      </c>
      <c r="C30" s="146">
        <v>4</v>
      </c>
      <c r="D30" s="58">
        <v>4.0999999999999996</v>
      </c>
      <c r="E30" s="58">
        <v>4.0999999999999996</v>
      </c>
      <c r="F30" s="58"/>
      <c r="G30" s="58">
        <v>4.0999999999999996</v>
      </c>
      <c r="H30" s="58">
        <v>4.0999999999999996</v>
      </c>
      <c r="I30" s="58">
        <v>4.2</v>
      </c>
      <c r="J30" s="59">
        <f t="shared" ref="J30" si="25">SUM(C30:I30)-F30</f>
        <v>24.599999999999998</v>
      </c>
      <c r="K30" s="60">
        <f t="shared" ref="K30" si="26">J30/6</f>
        <v>4.0999999999999996</v>
      </c>
      <c r="L30" s="61">
        <v>4.0999999999999996</v>
      </c>
      <c r="M30" s="61"/>
      <c r="N30" s="61"/>
      <c r="O30" s="61">
        <v>3.8</v>
      </c>
      <c r="P30" s="61"/>
      <c r="Q30" s="61"/>
      <c r="R30" s="61"/>
      <c r="S30" s="61">
        <v>3.6</v>
      </c>
      <c r="T30" s="76">
        <f t="shared" si="19"/>
        <v>52.6</v>
      </c>
      <c r="U30" s="76">
        <f t="shared" si="20"/>
        <v>5.844444444444445</v>
      </c>
      <c r="V30" s="58"/>
      <c r="W30" s="58"/>
      <c r="X30" s="58">
        <v>4</v>
      </c>
      <c r="Y30" s="59">
        <f t="shared" si="14"/>
        <v>73.944444444444443</v>
      </c>
      <c r="Z30" s="59">
        <f t="shared" si="0"/>
        <v>8.216049382716049</v>
      </c>
      <c r="AA30" s="63">
        <v>4.2</v>
      </c>
      <c r="AB30" s="63">
        <v>3.9</v>
      </c>
      <c r="AC30" s="63">
        <v>4</v>
      </c>
      <c r="AD30" s="63">
        <v>4.0999999999999996</v>
      </c>
      <c r="AE30" s="67">
        <f t="shared" si="10"/>
        <v>16.2</v>
      </c>
      <c r="AF30" s="64">
        <f t="shared" si="1"/>
        <v>4.05</v>
      </c>
      <c r="AG30" s="58">
        <v>4</v>
      </c>
      <c r="AH30" s="58"/>
      <c r="AI30" s="58">
        <v>4</v>
      </c>
      <c r="AJ30" s="58">
        <v>4.2</v>
      </c>
      <c r="AK30" s="65">
        <f t="shared" si="2"/>
        <v>12.2</v>
      </c>
      <c r="AL30" s="65">
        <f t="shared" si="3"/>
        <v>4.0666666666666664</v>
      </c>
      <c r="AM30" s="61">
        <v>4.2</v>
      </c>
      <c r="AN30" s="61">
        <v>4.0999999999999996</v>
      </c>
      <c r="AO30" s="61">
        <v>4</v>
      </c>
      <c r="AP30" s="61">
        <v>4.0999999999999996</v>
      </c>
      <c r="AQ30" s="61">
        <v>4</v>
      </c>
      <c r="AR30" s="82">
        <f t="shared" si="4"/>
        <v>20.399999999999999</v>
      </c>
      <c r="AS30" s="82">
        <f t="shared" si="5"/>
        <v>4.08</v>
      </c>
      <c r="AT30" s="58">
        <v>4.2</v>
      </c>
      <c r="AU30" s="58">
        <v>4.3</v>
      </c>
      <c r="AV30" s="58">
        <v>4.0999999999999996</v>
      </c>
      <c r="AW30" s="58">
        <v>4.0999999999999996</v>
      </c>
      <c r="AX30" s="58"/>
      <c r="AY30" s="58">
        <v>4.0999999999999996</v>
      </c>
      <c r="AZ30" s="60">
        <f t="shared" si="11"/>
        <v>20.799999999999997</v>
      </c>
      <c r="BA30" s="60">
        <f t="shared" si="6"/>
        <v>4.1599999999999993</v>
      </c>
      <c r="BB30" s="61">
        <v>4.2</v>
      </c>
      <c r="BC30" s="61">
        <v>3.9</v>
      </c>
      <c r="BD30" s="61">
        <v>3.9</v>
      </c>
      <c r="BE30" s="66">
        <f t="shared" si="7"/>
        <v>12</v>
      </c>
      <c r="BF30" s="85">
        <f t="shared" si="8"/>
        <v>4</v>
      </c>
    </row>
    <row r="31" spans="1:59">
      <c r="A31" s="6" t="s">
        <v>92</v>
      </c>
      <c r="B31" s="161"/>
      <c r="C31" s="150"/>
      <c r="D31" s="91"/>
      <c r="E31" s="91"/>
      <c r="F31" s="91"/>
      <c r="G31" s="91"/>
      <c r="H31" s="91"/>
      <c r="I31" s="91"/>
      <c r="J31" s="69"/>
      <c r="K31" s="70"/>
      <c r="L31" s="92"/>
      <c r="M31" s="92"/>
      <c r="N31" s="92"/>
      <c r="O31" s="92"/>
      <c r="P31" s="92"/>
      <c r="Q31" s="92"/>
      <c r="R31" s="92"/>
      <c r="S31" s="92"/>
      <c r="T31" s="76">
        <f t="shared" si="19"/>
        <v>0</v>
      </c>
      <c r="U31" s="76">
        <f t="shared" si="20"/>
        <v>0</v>
      </c>
      <c r="V31" s="91"/>
      <c r="W31" s="91"/>
      <c r="X31" s="91"/>
      <c r="Y31" s="59">
        <f t="shared" si="14"/>
        <v>0</v>
      </c>
      <c r="Z31" s="59">
        <f t="shared" si="0"/>
        <v>0</v>
      </c>
      <c r="AA31" s="93"/>
      <c r="AB31" s="93"/>
      <c r="AC31" s="93"/>
      <c r="AD31" s="93"/>
      <c r="AE31" s="67">
        <f t="shared" si="10"/>
        <v>0</v>
      </c>
      <c r="AF31" s="64">
        <f t="shared" si="1"/>
        <v>0</v>
      </c>
      <c r="AG31" s="91"/>
      <c r="AH31" s="91"/>
      <c r="AI31" s="91"/>
      <c r="AJ31" s="91"/>
      <c r="AK31" s="65">
        <f t="shared" si="2"/>
        <v>0</v>
      </c>
      <c r="AL31" s="65">
        <f t="shared" si="3"/>
        <v>0</v>
      </c>
      <c r="AM31" s="92"/>
      <c r="AN31" s="92"/>
      <c r="AO31" s="92"/>
      <c r="AP31" s="92"/>
      <c r="AQ31" s="92"/>
      <c r="AR31" s="82">
        <f t="shared" si="4"/>
        <v>0</v>
      </c>
      <c r="AS31" s="82">
        <f t="shared" si="5"/>
        <v>0</v>
      </c>
      <c r="AT31" s="91"/>
      <c r="AU31" s="91"/>
      <c r="AV31" s="91"/>
      <c r="AW31" s="91"/>
      <c r="AX31" s="91"/>
      <c r="AY31" s="91"/>
      <c r="AZ31" s="60">
        <f t="shared" si="11"/>
        <v>0</v>
      </c>
      <c r="BA31" s="60">
        <f t="shared" si="6"/>
        <v>0</v>
      </c>
      <c r="BB31" s="92"/>
      <c r="BC31" s="92"/>
      <c r="BD31" s="92"/>
      <c r="BE31" s="66">
        <f t="shared" si="7"/>
        <v>0</v>
      </c>
      <c r="BF31" s="85">
        <f t="shared" si="8"/>
        <v>0</v>
      </c>
      <c r="BG31" s="3"/>
    </row>
    <row r="32" spans="1:59" ht="28.5">
      <c r="A32" s="2" t="s">
        <v>200</v>
      </c>
      <c r="B32" s="160" t="s">
        <v>96</v>
      </c>
      <c r="C32" s="151">
        <v>4388000</v>
      </c>
      <c r="D32" s="83">
        <v>3622000</v>
      </c>
      <c r="E32" s="83">
        <v>4522000</v>
      </c>
      <c r="F32" s="83"/>
      <c r="G32" s="83">
        <v>4937000</v>
      </c>
      <c r="H32" s="60">
        <v>4926000</v>
      </c>
      <c r="I32" s="60">
        <v>3756000</v>
      </c>
      <c r="J32" s="59">
        <f t="shared" ref="J32:J35" si="27">SUM(C32:I32)-F32</f>
        <v>26151000</v>
      </c>
      <c r="K32" s="60">
        <f t="shared" ref="K32:K35" si="28">J32/6</f>
        <v>4358500</v>
      </c>
      <c r="L32" s="66">
        <v>1527000</v>
      </c>
      <c r="M32" s="66">
        <v>1289000</v>
      </c>
      <c r="N32" s="66"/>
      <c r="O32" s="66">
        <v>2017000</v>
      </c>
      <c r="P32" s="66">
        <v>999000</v>
      </c>
      <c r="Q32" s="66">
        <v>943000</v>
      </c>
      <c r="R32" s="66"/>
      <c r="S32" s="66">
        <v>2308000</v>
      </c>
      <c r="T32" s="62">
        <f t="shared" si="19"/>
        <v>53211500</v>
      </c>
      <c r="U32" s="62">
        <f t="shared" si="20"/>
        <v>5912388.888888889</v>
      </c>
      <c r="V32" s="60">
        <v>770000</v>
      </c>
      <c r="W32" s="60">
        <v>1214000</v>
      </c>
      <c r="X32" s="60">
        <v>2925000</v>
      </c>
      <c r="Y32" s="59">
        <f t="shared" si="14"/>
        <v>73115888.888888896</v>
      </c>
      <c r="Z32" s="59">
        <f t="shared" si="0"/>
        <v>8123987.6543209888</v>
      </c>
      <c r="AA32" s="84">
        <v>3119000</v>
      </c>
      <c r="AB32" s="84">
        <v>3343000</v>
      </c>
      <c r="AC32" s="84">
        <v>3339000</v>
      </c>
      <c r="AD32" s="84">
        <v>2155000</v>
      </c>
      <c r="AE32" s="67">
        <f t="shared" si="10"/>
        <v>11956000</v>
      </c>
      <c r="AF32" s="84">
        <f t="shared" si="1"/>
        <v>2989000</v>
      </c>
      <c r="AG32" s="60">
        <v>6814000</v>
      </c>
      <c r="AH32" s="60"/>
      <c r="AI32" s="60">
        <v>4027000</v>
      </c>
      <c r="AJ32" s="60">
        <v>4446000</v>
      </c>
      <c r="AK32" s="60">
        <f t="shared" si="2"/>
        <v>15287000</v>
      </c>
      <c r="AL32" s="60">
        <f t="shared" si="3"/>
        <v>5095666.666666667</v>
      </c>
      <c r="AM32" s="66">
        <v>4354000</v>
      </c>
      <c r="AN32" s="66">
        <v>3532000</v>
      </c>
      <c r="AO32" s="66">
        <v>3140000</v>
      </c>
      <c r="AP32" s="66">
        <v>3581000</v>
      </c>
      <c r="AQ32" s="66">
        <v>5772000</v>
      </c>
      <c r="AR32" s="66">
        <f t="shared" si="4"/>
        <v>20379000</v>
      </c>
      <c r="AS32" s="66">
        <f t="shared" si="5"/>
        <v>4075800</v>
      </c>
      <c r="AT32" s="60">
        <v>6291000</v>
      </c>
      <c r="AU32" s="60">
        <v>3258000</v>
      </c>
      <c r="AV32" s="60">
        <v>2565000</v>
      </c>
      <c r="AW32" s="60">
        <v>3549000</v>
      </c>
      <c r="AX32" s="60"/>
      <c r="AY32" s="60">
        <v>5768000</v>
      </c>
      <c r="AZ32" s="60">
        <f t="shared" si="11"/>
        <v>21431000</v>
      </c>
      <c r="BA32" s="60">
        <f t="shared" si="6"/>
        <v>4286200</v>
      </c>
      <c r="BB32" s="66">
        <v>3800000</v>
      </c>
      <c r="BC32" s="66">
        <v>2998000</v>
      </c>
      <c r="BD32" s="66">
        <v>4482000</v>
      </c>
      <c r="BE32" s="66">
        <f t="shared" si="7"/>
        <v>11280000</v>
      </c>
      <c r="BF32" s="85">
        <f t="shared" si="8"/>
        <v>3760000</v>
      </c>
    </row>
    <row r="33" spans="1:58" ht="53.25" customHeight="1">
      <c r="A33" s="2" t="s">
        <v>93</v>
      </c>
      <c r="B33" s="160" t="s">
        <v>201</v>
      </c>
      <c r="C33" s="152">
        <v>27839000</v>
      </c>
      <c r="D33" s="60">
        <v>21474000</v>
      </c>
      <c r="E33" s="60">
        <v>31390000</v>
      </c>
      <c r="F33" s="60"/>
      <c r="G33" s="60">
        <v>10452000</v>
      </c>
      <c r="H33" s="60">
        <v>14618000</v>
      </c>
      <c r="I33" s="60">
        <v>15276000</v>
      </c>
      <c r="J33" s="60">
        <f t="shared" si="27"/>
        <v>121049000</v>
      </c>
      <c r="K33" s="60">
        <f t="shared" si="28"/>
        <v>20174833.333333332</v>
      </c>
      <c r="L33" s="66">
        <v>5151000</v>
      </c>
      <c r="M33" s="66">
        <f>(N33/N5)*M5</f>
        <v>2002400</v>
      </c>
      <c r="N33" s="66">
        <v>10012000</v>
      </c>
      <c r="O33" s="66">
        <f>(N33/N5)*O5</f>
        <v>8009600</v>
      </c>
      <c r="P33" s="66">
        <v>5261000</v>
      </c>
      <c r="Q33" s="66">
        <f>(R33/66)*Q5</f>
        <v>1384500</v>
      </c>
      <c r="R33" s="66">
        <v>8307000</v>
      </c>
      <c r="S33" s="66">
        <f>(R33/R5)*S5</f>
        <v>6922500</v>
      </c>
      <c r="T33" s="62">
        <f>SUM(G33:S33)-R33</f>
        <v>220312833.33333334</v>
      </c>
      <c r="U33" s="62">
        <f t="shared" si="20"/>
        <v>24479203.703703705</v>
      </c>
      <c r="V33" s="60">
        <v>5261000</v>
      </c>
      <c r="W33" s="60">
        <v>5712000</v>
      </c>
      <c r="X33" s="60">
        <v>13493000</v>
      </c>
      <c r="Y33" s="59">
        <f t="shared" si="14"/>
        <v>316308037.03703707</v>
      </c>
      <c r="Z33" s="59">
        <f t="shared" si="0"/>
        <v>35145337.448559672</v>
      </c>
      <c r="AA33" s="84">
        <v>21950000</v>
      </c>
      <c r="AB33" s="84">
        <v>22402000</v>
      </c>
      <c r="AC33" s="84">
        <v>13938000</v>
      </c>
      <c r="AD33" s="84">
        <v>18706000</v>
      </c>
      <c r="AE33" s="67">
        <f t="shared" si="10"/>
        <v>76996000</v>
      </c>
      <c r="AF33" s="84">
        <f t="shared" ref="AF33:AF35" si="29">AE33/4</f>
        <v>19249000</v>
      </c>
      <c r="AG33" s="60">
        <v>31099000</v>
      </c>
      <c r="AH33" s="60"/>
      <c r="AI33" s="60">
        <v>27003000</v>
      </c>
      <c r="AJ33" s="60">
        <v>37717000</v>
      </c>
      <c r="AK33" s="60">
        <f t="shared" si="2"/>
        <v>95819000</v>
      </c>
      <c r="AL33" s="60">
        <f t="shared" si="3"/>
        <v>31939666.666666668</v>
      </c>
      <c r="AM33" s="66">
        <v>17472000</v>
      </c>
      <c r="AN33" s="66">
        <v>18900000</v>
      </c>
      <c r="AO33" s="66">
        <v>15467000</v>
      </c>
      <c r="AP33" s="66">
        <v>14957000</v>
      </c>
      <c r="AQ33" s="66">
        <v>34590000</v>
      </c>
      <c r="AR33" s="66">
        <f t="shared" si="4"/>
        <v>101386000</v>
      </c>
      <c r="AS33" s="66">
        <f t="shared" si="5"/>
        <v>20277200</v>
      </c>
      <c r="AT33" s="60">
        <v>21618000</v>
      </c>
      <c r="AU33" s="60">
        <v>24229000</v>
      </c>
      <c r="AV33" s="60">
        <v>22199000</v>
      </c>
      <c r="AW33" s="60">
        <v>26888000</v>
      </c>
      <c r="AX33" s="60"/>
      <c r="AY33" s="60">
        <v>39700000</v>
      </c>
      <c r="AZ33" s="60">
        <f t="shared" si="11"/>
        <v>134634000</v>
      </c>
      <c r="BA33" s="60">
        <f t="shared" si="6"/>
        <v>26926800</v>
      </c>
      <c r="BB33" s="66">
        <v>16318000</v>
      </c>
      <c r="BC33" s="66">
        <v>16477000</v>
      </c>
      <c r="BD33" s="66">
        <v>23160000</v>
      </c>
      <c r="BE33" s="66">
        <f t="shared" si="7"/>
        <v>55955000</v>
      </c>
      <c r="BF33" s="85">
        <f t="shared" si="8"/>
        <v>18651666.666666668</v>
      </c>
    </row>
    <row r="34" spans="1:58" ht="19.899999999999999" customHeight="1">
      <c r="A34" s="2" t="s">
        <v>202</v>
      </c>
      <c r="B34" s="160" t="s">
        <v>203</v>
      </c>
      <c r="C34" s="153">
        <f t="shared" ref="C34:I34" si="30">C32+C33</f>
        <v>32227000</v>
      </c>
      <c r="D34" s="86">
        <f t="shared" si="30"/>
        <v>25096000</v>
      </c>
      <c r="E34" s="86">
        <f t="shared" si="30"/>
        <v>35912000</v>
      </c>
      <c r="F34" s="86">
        <f t="shared" si="30"/>
        <v>0</v>
      </c>
      <c r="G34" s="86">
        <f t="shared" si="30"/>
        <v>15389000</v>
      </c>
      <c r="H34" s="86">
        <f t="shared" si="30"/>
        <v>19544000</v>
      </c>
      <c r="I34" s="86">
        <f t="shared" si="30"/>
        <v>19032000</v>
      </c>
      <c r="J34" s="60">
        <f t="shared" si="27"/>
        <v>147200000</v>
      </c>
      <c r="K34" s="60">
        <f t="shared" si="28"/>
        <v>24533333.333333332</v>
      </c>
      <c r="L34" s="87">
        <f>L32+L33</f>
        <v>6678000</v>
      </c>
      <c r="M34" s="87">
        <f>M32+M33</f>
        <v>3291400</v>
      </c>
      <c r="N34" s="87"/>
      <c r="O34" s="87">
        <f>O32+O33</f>
        <v>10026600</v>
      </c>
      <c r="P34" s="87">
        <f>P32+P33</f>
        <v>6260000</v>
      </c>
      <c r="Q34" s="87">
        <f>Q32+Q33</f>
        <v>2327500</v>
      </c>
      <c r="R34" s="87"/>
      <c r="S34" s="87">
        <f>S32+S33</f>
        <v>9230500</v>
      </c>
      <c r="T34" s="62">
        <f>SUM(G34:S34)</f>
        <v>263512333.33333334</v>
      </c>
      <c r="U34" s="62">
        <f t="shared" si="20"/>
        <v>29279148.148148149</v>
      </c>
      <c r="V34" s="86">
        <f>V32+V33</f>
        <v>6031000</v>
      </c>
      <c r="W34" s="86">
        <f>W32+W33</f>
        <v>6926000</v>
      </c>
      <c r="X34" s="86">
        <f>X32+X33</f>
        <v>16418000</v>
      </c>
      <c r="Y34" s="59">
        <f t="shared" si="14"/>
        <v>359980481.48148155</v>
      </c>
      <c r="Z34" s="59">
        <f t="shared" si="0"/>
        <v>39997831.275720172</v>
      </c>
      <c r="AA34" s="88">
        <f>AA32+AA33</f>
        <v>25069000</v>
      </c>
      <c r="AB34" s="88">
        <f>AB32+AB33</f>
        <v>25745000</v>
      </c>
      <c r="AC34" s="88">
        <f>AC32+AC33</f>
        <v>17277000</v>
      </c>
      <c r="AD34" s="88">
        <f>AD32+AD33</f>
        <v>20861000</v>
      </c>
      <c r="AE34" s="67">
        <f t="shared" si="10"/>
        <v>88952000</v>
      </c>
      <c r="AF34" s="84">
        <f t="shared" si="29"/>
        <v>22238000</v>
      </c>
      <c r="AG34" s="86">
        <f>AG32+AG33</f>
        <v>37913000</v>
      </c>
      <c r="AH34" s="86">
        <f>AH32+AH33</f>
        <v>0</v>
      </c>
      <c r="AI34" s="86">
        <f>AI32+AI33</f>
        <v>31030000</v>
      </c>
      <c r="AJ34" s="86">
        <f>AJ32+AJ33</f>
        <v>42163000</v>
      </c>
      <c r="AK34" s="60">
        <f t="shared" si="2"/>
        <v>111106000</v>
      </c>
      <c r="AL34" s="60">
        <f t="shared" si="3"/>
        <v>37035333.333333336</v>
      </c>
      <c r="AM34" s="87">
        <f>AM32+AM33</f>
        <v>21826000</v>
      </c>
      <c r="AN34" s="87">
        <f>AN32+AN33</f>
        <v>22432000</v>
      </c>
      <c r="AO34" s="87">
        <f>AO32+AO33</f>
        <v>18607000</v>
      </c>
      <c r="AP34" s="87">
        <f>AP32+AP33</f>
        <v>18538000</v>
      </c>
      <c r="AQ34" s="87">
        <f>AQ32+AQ33</f>
        <v>40362000</v>
      </c>
      <c r="AR34" s="66">
        <f t="shared" si="4"/>
        <v>121765000</v>
      </c>
      <c r="AS34" s="66">
        <f t="shared" si="5"/>
        <v>24353000</v>
      </c>
      <c r="AT34" s="86">
        <f t="shared" ref="AT34:AY34" si="31">AT32+AT33</f>
        <v>27909000</v>
      </c>
      <c r="AU34" s="86">
        <f t="shared" si="31"/>
        <v>27487000</v>
      </c>
      <c r="AV34" s="86">
        <f t="shared" si="31"/>
        <v>24764000</v>
      </c>
      <c r="AW34" s="86">
        <f t="shared" si="31"/>
        <v>30437000</v>
      </c>
      <c r="AX34" s="86">
        <f t="shared" si="31"/>
        <v>0</v>
      </c>
      <c r="AY34" s="86">
        <f t="shared" si="31"/>
        <v>45468000</v>
      </c>
      <c r="AZ34" s="60">
        <f t="shared" si="11"/>
        <v>156065000</v>
      </c>
      <c r="BA34" s="60">
        <f t="shared" si="6"/>
        <v>31213000</v>
      </c>
      <c r="BB34" s="87">
        <f>BB32+BB33</f>
        <v>20118000</v>
      </c>
      <c r="BC34" s="87">
        <f>BC32+BC33</f>
        <v>19475000</v>
      </c>
      <c r="BD34" s="87">
        <f>BD32+BD33</f>
        <v>27642000</v>
      </c>
      <c r="BE34" s="66">
        <f t="shared" si="7"/>
        <v>67235000</v>
      </c>
      <c r="BF34" s="85">
        <f t="shared" si="8"/>
        <v>22411666.666666668</v>
      </c>
    </row>
    <row r="35" spans="1:58" ht="28.5">
      <c r="A35" s="2" t="s">
        <v>204</v>
      </c>
      <c r="B35" s="160" t="s">
        <v>205</v>
      </c>
      <c r="C35" s="153">
        <f>C34/C5</f>
        <v>92873.198847262247</v>
      </c>
      <c r="D35" s="86">
        <f>D34/D5</f>
        <v>90599.277978339349</v>
      </c>
      <c r="E35" s="86">
        <f>E34/E5</f>
        <v>95005.291005291001</v>
      </c>
      <c r="F35" s="86">
        <v>0</v>
      </c>
      <c r="G35" s="86">
        <f>G34/G5</f>
        <v>131529.91452991453</v>
      </c>
      <c r="H35" s="86">
        <f>H34/H5</f>
        <v>109797.75280898876</v>
      </c>
      <c r="I35" s="86">
        <f>I34/I5</f>
        <v>97600</v>
      </c>
      <c r="J35" s="59">
        <f t="shared" si="27"/>
        <v>617405.43516979588</v>
      </c>
      <c r="K35" s="60">
        <f t="shared" si="28"/>
        <v>102900.90586163265</v>
      </c>
      <c r="L35" s="87">
        <f>L34/L5</f>
        <v>185500</v>
      </c>
      <c r="M35" s="87">
        <f>M34/M5</f>
        <v>182855.55555555556</v>
      </c>
      <c r="N35" s="87">
        <f>N33/N5</f>
        <v>111244.44444444444</v>
      </c>
      <c r="O35" s="87">
        <f>O34/O5</f>
        <v>139258.33333333334</v>
      </c>
      <c r="P35" s="87">
        <f>P34/P5</f>
        <v>231851.85185185185</v>
      </c>
      <c r="Q35" s="87">
        <f>Q34/Q5</f>
        <v>211590.90909090909</v>
      </c>
      <c r="R35" s="87">
        <f>R33/R5</f>
        <v>125863.63636363637</v>
      </c>
      <c r="S35" s="87">
        <f>S34/S5</f>
        <v>167827.27272727274</v>
      </c>
      <c r="T35" s="76"/>
      <c r="U35" s="76">
        <f t="shared" si="20"/>
        <v>0</v>
      </c>
      <c r="V35" s="86">
        <f>V34/V5</f>
        <v>430785.71428571426</v>
      </c>
      <c r="W35" s="86">
        <f>W34/W5</f>
        <v>153911.11111111112</v>
      </c>
      <c r="X35" s="86">
        <f>X34/X5</f>
        <v>130301.58730158731</v>
      </c>
      <c r="Y35" s="59">
        <f t="shared" si="14"/>
        <v>2070990.4160654163</v>
      </c>
      <c r="Z35" s="59">
        <f t="shared" si="0"/>
        <v>230110.04622949069</v>
      </c>
      <c r="AA35" s="88">
        <f>AA34/AA5</f>
        <v>89213.523131672599</v>
      </c>
      <c r="AB35" s="88">
        <f>AB34/AB5</f>
        <v>92275.985663082436</v>
      </c>
      <c r="AC35" s="88">
        <f>AC34/AC5</f>
        <v>90455.497382198955</v>
      </c>
      <c r="AD35" s="88">
        <f>AD34/AD5</f>
        <v>88394.067796610165</v>
      </c>
      <c r="AE35" s="67">
        <f t="shared" si="10"/>
        <v>360339.0739735642</v>
      </c>
      <c r="AF35" s="84">
        <f t="shared" si="29"/>
        <v>90084.76849339105</v>
      </c>
      <c r="AG35" s="86">
        <f>AG34/AG5</f>
        <v>96716.836734693876</v>
      </c>
      <c r="AH35" s="86" t="e">
        <f>AH34/AH5</f>
        <v>#DIV/0!</v>
      </c>
      <c r="AI35" s="86">
        <f>AI34/AI5</f>
        <v>85013.698630136991</v>
      </c>
      <c r="AJ35" s="86">
        <f>AJ34/AJ5</f>
        <v>97599.537037037036</v>
      </c>
      <c r="AK35" s="60" t="e">
        <f t="shared" si="2"/>
        <v>#DIV/0!</v>
      </c>
      <c r="AL35" s="60" t="e">
        <f t="shared" si="3"/>
        <v>#DIV/0!</v>
      </c>
      <c r="AM35" s="87">
        <f>AM34/AM5</f>
        <v>108587.06467661691</v>
      </c>
      <c r="AN35" s="87">
        <f>AN34/AN5</f>
        <v>91186.991869918696</v>
      </c>
      <c r="AO35" s="87">
        <f>AO34/AO5</f>
        <v>103372.22222222222</v>
      </c>
      <c r="AP35" s="87">
        <f>AP34/AP5</f>
        <v>100750</v>
      </c>
      <c r="AQ35" s="87">
        <f>AQ34/AQ5</f>
        <v>97728.813559322036</v>
      </c>
      <c r="AR35" s="66">
        <f t="shared" si="4"/>
        <v>501625.09232807986</v>
      </c>
      <c r="AS35" s="66">
        <f t="shared" si="5"/>
        <v>100325.01846561597</v>
      </c>
      <c r="AT35" s="86">
        <f>AT34/AT5</f>
        <v>92413.907284768211</v>
      </c>
      <c r="AU35" s="86">
        <f>AU34/AU5</f>
        <v>84575.38461538461</v>
      </c>
      <c r="AV35" s="86">
        <f>AV34/AV5</f>
        <v>86891.228070175435</v>
      </c>
      <c r="AW35" s="86">
        <f>AW34/AW5</f>
        <v>89520.588235294112</v>
      </c>
      <c r="AX35" s="86"/>
      <c r="AY35" s="86">
        <f>AY34/AY5</f>
        <v>95320.75471698113</v>
      </c>
      <c r="AZ35" s="60">
        <f t="shared" si="11"/>
        <v>448721.8629226035</v>
      </c>
      <c r="BA35" s="60">
        <f t="shared" si="6"/>
        <v>89744.372584520694</v>
      </c>
      <c r="BB35" s="87">
        <f>BB34/BB5</f>
        <v>81449.392712550602</v>
      </c>
      <c r="BC35" s="87">
        <f>BC34/BC5</f>
        <v>97375</v>
      </c>
      <c r="BD35" s="87">
        <f>BD34/BD5</f>
        <v>103528.08988764045</v>
      </c>
      <c r="BE35" s="66">
        <f t="shared" si="7"/>
        <v>282352.48260019103</v>
      </c>
      <c r="BF35" s="85">
        <f t="shared" si="8"/>
        <v>94117.49420006368</v>
      </c>
    </row>
    <row r="36" spans="1:58" ht="29.25" customHeight="1">
      <c r="A36" s="2" t="s">
        <v>206</v>
      </c>
      <c r="B36" s="160" t="s">
        <v>207</v>
      </c>
      <c r="C36" s="153">
        <f>C42*0.65</f>
        <v>3332.55</v>
      </c>
      <c r="D36" s="86">
        <f t="shared" ref="D36:BF36" si="32">D42*0.65</f>
        <v>2662.4</v>
      </c>
      <c r="E36" s="86">
        <f t="shared" si="32"/>
        <v>4992</v>
      </c>
      <c r="F36" s="86">
        <f t="shared" si="32"/>
        <v>0</v>
      </c>
      <c r="G36" s="86">
        <f t="shared" si="32"/>
        <v>1510.6000000000001</v>
      </c>
      <c r="H36" s="86">
        <f t="shared" si="32"/>
        <v>1941.55</v>
      </c>
      <c r="I36" s="86">
        <f t="shared" si="32"/>
        <v>2998.4500000000003</v>
      </c>
      <c r="J36" s="86">
        <f t="shared" si="32"/>
        <v>17437.55</v>
      </c>
      <c r="K36" s="86">
        <f t="shared" si="32"/>
        <v>2906.2583333333337</v>
      </c>
      <c r="L36" s="86">
        <f t="shared" si="32"/>
        <v>1201.2</v>
      </c>
      <c r="M36" s="86">
        <f t="shared" si="32"/>
        <v>877.5</v>
      </c>
      <c r="N36" s="86">
        <f t="shared" si="32"/>
        <v>0</v>
      </c>
      <c r="O36" s="86">
        <f t="shared" si="32"/>
        <v>1450.15</v>
      </c>
      <c r="P36" s="86">
        <f t="shared" si="32"/>
        <v>1032.2</v>
      </c>
      <c r="Q36" s="86">
        <f t="shared" si="32"/>
        <v>718.25</v>
      </c>
      <c r="R36" s="86">
        <f t="shared" si="32"/>
        <v>0</v>
      </c>
      <c r="S36" s="86">
        <f t="shared" si="32"/>
        <v>2341.9500000000003</v>
      </c>
      <c r="T36" s="86">
        <f t="shared" si="32"/>
        <v>34415.658333333333</v>
      </c>
      <c r="U36" s="86">
        <f t="shared" si="32"/>
        <v>3823.9620370370371</v>
      </c>
      <c r="V36" s="86">
        <f t="shared" si="32"/>
        <v>1196</v>
      </c>
      <c r="W36" s="86">
        <f t="shared" si="32"/>
        <v>710.45</v>
      </c>
      <c r="X36" s="86">
        <f t="shared" si="32"/>
        <v>2549.3000000000002</v>
      </c>
      <c r="Y36" s="86">
        <f t="shared" si="32"/>
        <v>50316.620370370372</v>
      </c>
      <c r="Z36" s="86">
        <f t="shared" si="32"/>
        <v>5590.7355967078192</v>
      </c>
      <c r="AA36" s="86">
        <f t="shared" si="32"/>
        <v>2813.85</v>
      </c>
      <c r="AB36" s="86">
        <f t="shared" si="32"/>
        <v>3053.05</v>
      </c>
      <c r="AC36" s="86">
        <f t="shared" si="32"/>
        <v>3169.4</v>
      </c>
      <c r="AD36" s="86">
        <f t="shared" si="32"/>
        <v>2223</v>
      </c>
      <c r="AE36" s="86">
        <f t="shared" si="32"/>
        <v>11259.300000000001</v>
      </c>
      <c r="AF36" s="86">
        <f t="shared" si="32"/>
        <v>2814.8250000000003</v>
      </c>
      <c r="AG36" s="86">
        <f t="shared" si="32"/>
        <v>5703.1</v>
      </c>
      <c r="AH36" s="86">
        <f t="shared" si="32"/>
        <v>0</v>
      </c>
      <c r="AI36" s="86">
        <f t="shared" si="32"/>
        <v>4274.4000000000005</v>
      </c>
      <c r="AJ36" s="86">
        <f t="shared" si="32"/>
        <v>5525</v>
      </c>
      <c r="AK36" s="60">
        <f t="shared" si="32"/>
        <v>15502.5</v>
      </c>
      <c r="AL36" s="60">
        <f t="shared" si="32"/>
        <v>5167.5</v>
      </c>
      <c r="AM36" s="86">
        <f t="shared" si="32"/>
        <v>3615.3</v>
      </c>
      <c r="AN36" s="86">
        <f t="shared" si="32"/>
        <v>3523</v>
      </c>
      <c r="AO36" s="86">
        <f t="shared" si="32"/>
        <v>2490.8000000000002</v>
      </c>
      <c r="AP36" s="86">
        <f t="shared" si="32"/>
        <v>3545.1</v>
      </c>
      <c r="AQ36" s="86">
        <f t="shared" si="32"/>
        <v>4739.8</v>
      </c>
      <c r="AR36" s="86">
        <f t="shared" si="32"/>
        <v>17914</v>
      </c>
      <c r="AS36" s="86">
        <f t="shared" si="32"/>
        <v>3582.8</v>
      </c>
      <c r="AT36" s="86">
        <f t="shared" si="32"/>
        <v>3771.3</v>
      </c>
      <c r="AU36" s="86">
        <f t="shared" si="32"/>
        <v>3510</v>
      </c>
      <c r="AV36" s="86">
        <f t="shared" si="32"/>
        <v>2304.9</v>
      </c>
      <c r="AW36" s="86">
        <f t="shared" si="32"/>
        <v>2962.7000000000003</v>
      </c>
      <c r="AX36" s="86">
        <f t="shared" si="32"/>
        <v>0</v>
      </c>
      <c r="AY36" s="86">
        <f t="shared" si="32"/>
        <v>5635.5</v>
      </c>
      <c r="AZ36" s="86">
        <f t="shared" si="32"/>
        <v>18184.400000000001</v>
      </c>
      <c r="BA36" s="86">
        <f t="shared" si="32"/>
        <v>3636.88</v>
      </c>
      <c r="BB36" s="86">
        <f t="shared" si="32"/>
        <v>2347.8000000000002</v>
      </c>
      <c r="BC36" s="86">
        <f t="shared" si="32"/>
        <v>2112.5</v>
      </c>
      <c r="BD36" s="86">
        <f t="shared" si="32"/>
        <v>4182.75</v>
      </c>
      <c r="BE36" s="86">
        <f t="shared" si="32"/>
        <v>8643.0500000000011</v>
      </c>
      <c r="BF36" s="103">
        <f t="shared" si="32"/>
        <v>2881.0166666666664</v>
      </c>
    </row>
    <row r="37" spans="1:58" ht="27.75" customHeight="1">
      <c r="A37" s="2" t="s">
        <v>208</v>
      </c>
      <c r="B37" s="160" t="s">
        <v>209</v>
      </c>
      <c r="C37" s="149">
        <f t="shared" ref="C37:I37" si="33">C36/C4</f>
        <v>6.8011224489795925</v>
      </c>
      <c r="D37" s="81">
        <f t="shared" si="33"/>
        <v>7.6068571428571428</v>
      </c>
      <c r="E37" s="81">
        <f t="shared" si="33"/>
        <v>13.136842105263158</v>
      </c>
      <c r="F37" s="81">
        <f t="shared" si="33"/>
        <v>0</v>
      </c>
      <c r="G37" s="81">
        <f t="shared" si="33"/>
        <v>6.7437500000000004</v>
      </c>
      <c r="H37" s="81">
        <f t="shared" si="33"/>
        <v>8.6291111111111114</v>
      </c>
      <c r="I37" s="81">
        <f t="shared" si="33"/>
        <v>9.672419354838711</v>
      </c>
      <c r="J37" s="59"/>
      <c r="K37" s="60">
        <f>K36/K4</f>
        <v>8.8112935826174859</v>
      </c>
      <c r="L37" s="78">
        <f>L36/L4</f>
        <v>13.346666666666668</v>
      </c>
      <c r="M37" s="78">
        <f>M36/M4</f>
        <v>12.535714285714286</v>
      </c>
      <c r="N37" s="78"/>
      <c r="O37" s="78">
        <f>O36/O4</f>
        <v>14.5015</v>
      </c>
      <c r="P37" s="78">
        <f>P36/P4</f>
        <v>12.9025</v>
      </c>
      <c r="Q37" s="78">
        <f>Q36/Q4</f>
        <v>11.970833333333333</v>
      </c>
      <c r="R37" s="78"/>
      <c r="S37" s="78">
        <f>S36/S4</f>
        <v>23.419500000000003</v>
      </c>
      <c r="T37" s="76"/>
      <c r="U37" s="76">
        <f>U36/U4</f>
        <v>38.239620370370375</v>
      </c>
      <c r="V37" s="81">
        <f>V36/V4</f>
        <v>19.933333333333334</v>
      </c>
      <c r="W37" s="81">
        <f>W36/W4</f>
        <v>7.8938888888888892</v>
      </c>
      <c r="X37" s="81">
        <f>X36/X4</f>
        <v>10.1972</v>
      </c>
      <c r="Y37" s="59">
        <f>SUM(L37:X37)</f>
        <v>164.94075687830687</v>
      </c>
      <c r="Z37" s="59">
        <f>Z36/Z4</f>
        <v>125.79155092592593</v>
      </c>
      <c r="AA37" s="77">
        <f>AA36/AA4</f>
        <v>7.4048684210526314</v>
      </c>
      <c r="AB37" s="77">
        <f>AB36/AB4</f>
        <v>9.1683183183183186</v>
      </c>
      <c r="AC37" s="77">
        <f>AC36/AC4</f>
        <v>10.564666666666668</v>
      </c>
      <c r="AD37" s="77">
        <f>AD36/AD4</f>
        <v>5.85</v>
      </c>
      <c r="AE37" s="67">
        <f t="shared" si="10"/>
        <v>32.987853406037615</v>
      </c>
      <c r="AF37" s="77">
        <f t="shared" ref="AF37:AQ37" si="34">AF36/AF4</f>
        <v>8.0827709978463762</v>
      </c>
      <c r="AG37" s="81">
        <f t="shared" si="34"/>
        <v>13.578809523809525</v>
      </c>
      <c r="AH37" s="81">
        <f t="shared" si="34"/>
        <v>0</v>
      </c>
      <c r="AI37" s="81">
        <f t="shared" si="34"/>
        <v>8.1417142857142863</v>
      </c>
      <c r="AJ37" s="81">
        <f t="shared" si="34"/>
        <v>10.231481481481481</v>
      </c>
      <c r="AK37" s="60">
        <f t="shared" si="34"/>
        <v>10.439393939393939</v>
      </c>
      <c r="AL37" s="60">
        <f t="shared" si="34"/>
        <v>10.439393939393939</v>
      </c>
      <c r="AM37" s="78">
        <f t="shared" si="34"/>
        <v>7.3781632653061227</v>
      </c>
      <c r="AN37" s="78">
        <f t="shared" si="34"/>
        <v>9.6785714285714288</v>
      </c>
      <c r="AO37" s="78">
        <f t="shared" si="34"/>
        <v>6.5547368421052639</v>
      </c>
      <c r="AP37" s="78">
        <f t="shared" si="34"/>
        <v>10.128857142857143</v>
      </c>
      <c r="AQ37" s="78">
        <f t="shared" si="34"/>
        <v>8.6178181818181816</v>
      </c>
      <c r="AR37" s="78">
        <f>SUM(AM37:AQ37)</f>
        <v>42.358146860658138</v>
      </c>
      <c r="AS37" s="82">
        <f t="shared" si="5"/>
        <v>8.4716293721316269</v>
      </c>
      <c r="AT37" s="81">
        <f t="shared" ref="AT37:AY37" si="35">AT36/AT4</f>
        <v>8.9792857142857141</v>
      </c>
      <c r="AU37" s="81">
        <f t="shared" si="35"/>
        <v>7.8</v>
      </c>
      <c r="AV37" s="81">
        <f t="shared" si="35"/>
        <v>6.0655263157894739</v>
      </c>
      <c r="AW37" s="81">
        <f t="shared" si="35"/>
        <v>7.7965789473684222</v>
      </c>
      <c r="AX37" s="81">
        <f t="shared" si="35"/>
        <v>0</v>
      </c>
      <c r="AY37" s="81">
        <f t="shared" si="35"/>
        <v>10.436111111111112</v>
      </c>
      <c r="AZ37" s="60">
        <f t="shared" ref="AZ37" si="36">SUM(AT37:AY37)-AX37</f>
        <v>41.077502088554716</v>
      </c>
      <c r="BA37" s="60">
        <f t="shared" ref="BA37" si="37">AZ37/5</f>
        <v>8.2155004177109436</v>
      </c>
      <c r="BB37" s="78">
        <f>BB36/BB4</f>
        <v>7.8260000000000005</v>
      </c>
      <c r="BC37" s="78">
        <f>BC36/BC4</f>
        <v>6.5</v>
      </c>
      <c r="BD37" s="78">
        <f>BD36/BD4</f>
        <v>11.61875</v>
      </c>
      <c r="BE37" s="66">
        <f t="shared" ref="BE37" si="38">SUM(BB37:BD37)</f>
        <v>25.944749999999999</v>
      </c>
      <c r="BF37" s="85">
        <f t="shared" ref="BF37" si="39">BE37/3</f>
        <v>8.6482499999999991</v>
      </c>
    </row>
    <row r="38" spans="1:58" ht="19.5" customHeight="1">
      <c r="A38" s="2" t="s">
        <v>210</v>
      </c>
      <c r="B38" s="160" t="s">
        <v>211</v>
      </c>
      <c r="C38" s="149">
        <f>C36/C5</f>
        <v>9.603890489913546</v>
      </c>
      <c r="D38" s="81">
        <f t="shared" ref="D38:BF38" si="40">D36/D5</f>
        <v>9.6115523465703969</v>
      </c>
      <c r="E38" s="81">
        <f t="shared" si="40"/>
        <v>13.206349206349206</v>
      </c>
      <c r="F38" s="81" t="e">
        <f t="shared" si="40"/>
        <v>#DIV/0!</v>
      </c>
      <c r="G38" s="81">
        <f t="shared" si="40"/>
        <v>12.911111111111111</v>
      </c>
      <c r="H38" s="81">
        <f t="shared" si="40"/>
        <v>10.907584269662921</v>
      </c>
      <c r="I38" s="81">
        <f t="shared" si="40"/>
        <v>15.376666666666669</v>
      </c>
      <c r="J38" s="81">
        <f t="shared" si="40"/>
        <v>11.687365951742628</v>
      </c>
      <c r="K38" s="81">
        <f t="shared" si="40"/>
        <v>11.687365951742629</v>
      </c>
      <c r="L38" s="81">
        <f t="shared" si="40"/>
        <v>33.366666666666667</v>
      </c>
      <c r="M38" s="81">
        <f t="shared" si="40"/>
        <v>48.75</v>
      </c>
      <c r="N38" s="81">
        <f t="shared" si="40"/>
        <v>0</v>
      </c>
      <c r="O38" s="81">
        <f t="shared" si="40"/>
        <v>20.140972222222224</v>
      </c>
      <c r="P38" s="81">
        <f t="shared" si="40"/>
        <v>38.229629629629635</v>
      </c>
      <c r="Q38" s="81">
        <f t="shared" si="40"/>
        <v>65.295454545454547</v>
      </c>
      <c r="R38" s="81">
        <f t="shared" si="40"/>
        <v>0</v>
      </c>
      <c r="S38" s="81">
        <f t="shared" si="40"/>
        <v>42.580909090909095</v>
      </c>
      <c r="T38" s="81"/>
      <c r="U38" s="81">
        <f t="shared" si="40"/>
        <v>87.305069338745142</v>
      </c>
      <c r="V38" s="81">
        <f t="shared" si="40"/>
        <v>85.428571428571431</v>
      </c>
      <c r="W38" s="81">
        <f t="shared" si="40"/>
        <v>15.787777777777778</v>
      </c>
      <c r="X38" s="81">
        <f t="shared" si="40"/>
        <v>20.232539682539684</v>
      </c>
      <c r="Y38" s="81">
        <f t="shared" si="40"/>
        <v>271.98173173173177</v>
      </c>
      <c r="Z38" s="81">
        <f t="shared" si="40"/>
        <v>271.98173173173171</v>
      </c>
      <c r="AA38" s="81">
        <f t="shared" si="40"/>
        <v>10.013701067615658</v>
      </c>
      <c r="AB38" s="81">
        <f t="shared" si="40"/>
        <v>10.942831541218638</v>
      </c>
      <c r="AC38" s="81">
        <f t="shared" si="40"/>
        <v>16.59371727748691</v>
      </c>
      <c r="AD38" s="81">
        <f t="shared" si="40"/>
        <v>9.4194915254237284</v>
      </c>
      <c r="AE38" s="81">
        <f t="shared" si="40"/>
        <v>11.40759878419453</v>
      </c>
      <c r="AF38" s="81">
        <f t="shared" si="40"/>
        <v>11.40759878419453</v>
      </c>
      <c r="AG38" s="81">
        <f t="shared" si="40"/>
        <v>14.548724489795919</v>
      </c>
      <c r="AH38" s="81" t="e">
        <f t="shared" si="40"/>
        <v>#DIV/0!</v>
      </c>
      <c r="AI38" s="81">
        <f t="shared" si="40"/>
        <v>11.710684931506851</v>
      </c>
      <c r="AJ38" s="81">
        <f t="shared" si="40"/>
        <v>12.789351851851851</v>
      </c>
      <c r="AK38" s="60">
        <f t="shared" si="40"/>
        <v>13.038267451640033</v>
      </c>
      <c r="AL38" s="60">
        <f t="shared" si="40"/>
        <v>13.038267451640035</v>
      </c>
      <c r="AM38" s="81">
        <f t="shared" si="40"/>
        <v>17.986567164179107</v>
      </c>
      <c r="AN38" s="81">
        <f t="shared" si="40"/>
        <v>14.321138211382113</v>
      </c>
      <c r="AO38" s="81">
        <f t="shared" si="40"/>
        <v>13.837777777777779</v>
      </c>
      <c r="AP38" s="81">
        <f t="shared" si="40"/>
        <v>19.266847826086956</v>
      </c>
      <c r="AQ38" s="81">
        <f t="shared" si="40"/>
        <v>11.476513317191284</v>
      </c>
      <c r="AR38" s="81">
        <f t="shared" si="40"/>
        <v>14.63562091503268</v>
      </c>
      <c r="AS38" s="81">
        <f t="shared" si="40"/>
        <v>14.63562091503268</v>
      </c>
      <c r="AT38" s="81">
        <f t="shared" si="40"/>
        <v>12.487748344370862</v>
      </c>
      <c r="AU38" s="81">
        <f t="shared" si="40"/>
        <v>10.8</v>
      </c>
      <c r="AV38" s="81">
        <f t="shared" si="40"/>
        <v>8.0873684210526324</v>
      </c>
      <c r="AW38" s="81">
        <f t="shared" si="40"/>
        <v>8.7138235294117656</v>
      </c>
      <c r="AX38" s="81" t="e">
        <f t="shared" si="40"/>
        <v>#DIV/0!</v>
      </c>
      <c r="AY38" s="81">
        <f t="shared" si="40"/>
        <v>11.814465408805031</v>
      </c>
      <c r="AZ38" s="81">
        <f t="shared" si="40"/>
        <v>10.517293233082707</v>
      </c>
      <c r="BA38" s="81">
        <f t="shared" si="40"/>
        <v>10.517293233082707</v>
      </c>
      <c r="BB38" s="81">
        <f t="shared" si="40"/>
        <v>9.5052631578947384</v>
      </c>
      <c r="BC38" s="81">
        <f t="shared" si="40"/>
        <v>10.5625</v>
      </c>
      <c r="BD38" s="81">
        <f t="shared" si="40"/>
        <v>15.665730337078651</v>
      </c>
      <c r="BE38" s="81">
        <f t="shared" si="40"/>
        <v>12.105112044817929</v>
      </c>
      <c r="BF38" s="104">
        <f t="shared" si="40"/>
        <v>12.105112044817925</v>
      </c>
    </row>
    <row r="39" spans="1:58" ht="28.5">
      <c r="A39" s="6" t="s">
        <v>212</v>
      </c>
      <c r="B39" s="160" t="s">
        <v>102</v>
      </c>
      <c r="C39" s="145"/>
      <c r="D39" s="90"/>
      <c r="E39" s="90"/>
      <c r="F39" s="90"/>
      <c r="G39" s="90"/>
      <c r="H39" s="90"/>
      <c r="I39" s="90"/>
      <c r="J39" s="94"/>
      <c r="K39" s="95"/>
      <c r="L39" s="5"/>
      <c r="M39" s="5"/>
      <c r="N39" s="5"/>
      <c r="O39" s="5"/>
      <c r="P39" s="5"/>
      <c r="Q39" s="5"/>
      <c r="R39" s="5"/>
      <c r="S39" s="5"/>
      <c r="T39" s="76">
        <f t="shared" ref="T39:T44" si="41">SUM(G39:S39)</f>
        <v>0</v>
      </c>
      <c r="U39" s="76">
        <f t="shared" ref="U39:U44" si="42">T39/9</f>
        <v>0</v>
      </c>
      <c r="V39" s="96"/>
      <c r="W39" s="96"/>
      <c r="X39" s="96"/>
      <c r="Y39" s="59">
        <f t="shared" ref="Y39:Y44" si="43">SUM(L39:X39)</f>
        <v>0</v>
      </c>
      <c r="Z39" s="59">
        <f t="shared" ref="Z39" si="44">Y39/9</f>
        <v>0</v>
      </c>
      <c r="AA39" s="97"/>
      <c r="AB39" s="97"/>
      <c r="AC39" s="97"/>
      <c r="AD39" s="97"/>
      <c r="AE39" s="67">
        <f t="shared" ref="AE39" si="45">SUM(AA39:AD39)</f>
        <v>0</v>
      </c>
      <c r="AF39" s="84">
        <f t="shared" ref="AF39" si="46">AE39/4</f>
        <v>0</v>
      </c>
      <c r="AG39" s="90"/>
      <c r="AH39" s="90"/>
      <c r="AI39" s="90"/>
      <c r="AJ39" s="90"/>
      <c r="AK39" s="60">
        <f t="shared" ref="AK39" si="47">SUM(AG39:AJ39)-AH39</f>
        <v>0</v>
      </c>
      <c r="AL39" s="60">
        <f t="shared" ref="AL39" si="48">AK39/3</f>
        <v>0</v>
      </c>
      <c r="AM39" s="5"/>
      <c r="AN39" s="5"/>
      <c r="AO39" s="5"/>
      <c r="AP39" s="5"/>
      <c r="AQ39" s="5"/>
      <c r="AR39" s="82">
        <f t="shared" ref="AR39" si="49">SUM(AM39:AQ39)</f>
        <v>0</v>
      </c>
      <c r="AS39" s="82">
        <f t="shared" ref="AS39" si="50">AR39/5</f>
        <v>0</v>
      </c>
      <c r="AT39" s="90"/>
      <c r="AU39" s="90"/>
      <c r="AV39" s="90"/>
      <c r="AW39" s="90"/>
      <c r="AX39" s="90"/>
      <c r="AY39" s="90"/>
      <c r="AZ39" s="60">
        <f t="shared" ref="AZ39" si="51">SUM(AT39:AY39)-AX39</f>
        <v>0</v>
      </c>
      <c r="BA39" s="60">
        <f t="shared" ref="BA39" si="52">AZ39/5</f>
        <v>0</v>
      </c>
      <c r="BB39" s="5"/>
      <c r="BC39" s="5"/>
      <c r="BD39" s="5"/>
      <c r="BE39" s="66">
        <f t="shared" ref="BE39" si="53">SUM(BB39:BD39)</f>
        <v>0</v>
      </c>
      <c r="BF39" s="85">
        <f t="shared" ref="BF39" si="54">BE39/3</f>
        <v>0</v>
      </c>
    </row>
    <row r="40" spans="1:58">
      <c r="A40" s="6" t="s">
        <v>213</v>
      </c>
      <c r="B40" s="162"/>
      <c r="C40" s="154"/>
      <c r="D40" s="96"/>
      <c r="E40" s="96"/>
      <c r="F40" s="96"/>
      <c r="G40" s="96"/>
      <c r="H40" s="96"/>
      <c r="I40" s="96"/>
      <c r="J40" s="99"/>
      <c r="K40" s="100"/>
      <c r="L40" s="98"/>
      <c r="M40" s="98"/>
      <c r="N40" s="98"/>
      <c r="O40" s="98"/>
      <c r="P40" s="98"/>
      <c r="Q40" s="98"/>
      <c r="R40" s="98"/>
      <c r="S40" s="98"/>
      <c r="T40" s="76">
        <f t="shared" si="41"/>
        <v>0</v>
      </c>
      <c r="U40" s="76">
        <f t="shared" si="42"/>
        <v>0</v>
      </c>
      <c r="V40" s="96"/>
      <c r="W40" s="96"/>
      <c r="X40" s="96"/>
      <c r="Y40" s="59">
        <f t="shared" si="43"/>
        <v>0</v>
      </c>
      <c r="Z40" s="59">
        <f>Y40/9</f>
        <v>0</v>
      </c>
      <c r="AA40" s="101"/>
      <c r="AB40" s="101"/>
      <c r="AC40" s="101"/>
      <c r="AD40" s="101"/>
      <c r="AE40" s="67">
        <f>SUM(AA40:AD40)</f>
        <v>0</v>
      </c>
      <c r="AF40" s="84">
        <f>AE40/4</f>
        <v>0</v>
      </c>
      <c r="AG40" s="96"/>
      <c r="AH40" s="96"/>
      <c r="AI40" s="96"/>
      <c r="AJ40" s="96"/>
      <c r="AK40" s="60">
        <f>SUM(AG40:AJ40)-AH40</f>
        <v>0</v>
      </c>
      <c r="AL40" s="60">
        <f>AK40/3</f>
        <v>0</v>
      </c>
      <c r="AM40" s="98"/>
      <c r="AN40" s="98"/>
      <c r="AO40" s="98"/>
      <c r="AP40" s="98"/>
      <c r="AQ40" s="98"/>
      <c r="AR40" s="82">
        <f>SUM(AM40:AQ40)</f>
        <v>0</v>
      </c>
      <c r="AS40" s="82">
        <f>AR40/5</f>
        <v>0</v>
      </c>
      <c r="AT40" s="96"/>
      <c r="AU40" s="96"/>
      <c r="AV40" s="96"/>
      <c r="AW40" s="96"/>
      <c r="AX40" s="96"/>
      <c r="AY40" s="96"/>
      <c r="AZ40" s="60">
        <f>SUM(AT40:AY40)-AX40</f>
        <v>0</v>
      </c>
      <c r="BA40" s="60">
        <f>AZ40/5</f>
        <v>0</v>
      </c>
      <c r="BB40" s="98"/>
      <c r="BC40" s="98"/>
      <c r="BD40" s="98"/>
      <c r="BE40" s="62">
        <f>SUM(BB40:BD40)</f>
        <v>0</v>
      </c>
      <c r="BF40" s="89">
        <f>BE40/3</f>
        <v>0</v>
      </c>
    </row>
    <row r="41" spans="1:58">
      <c r="A41" s="23" t="s">
        <v>214</v>
      </c>
      <c r="B41" s="163" t="s">
        <v>215</v>
      </c>
      <c r="C41" s="152">
        <v>586536</v>
      </c>
      <c r="D41" s="60">
        <v>655545</v>
      </c>
      <c r="E41" s="60">
        <v>1223095</v>
      </c>
      <c r="F41" s="60"/>
      <c r="G41" s="60">
        <v>344040</v>
      </c>
      <c r="H41" s="60">
        <v>475315</v>
      </c>
      <c r="I41" s="60">
        <v>806978</v>
      </c>
      <c r="J41" s="59">
        <f>SUM(C41:I41)-F41</f>
        <v>4091509</v>
      </c>
      <c r="K41" s="60">
        <f>J41/6</f>
        <v>681918.16666666663</v>
      </c>
      <c r="L41" s="62">
        <v>292398</v>
      </c>
      <c r="M41" s="62">
        <v>250895</v>
      </c>
      <c r="N41" s="62"/>
      <c r="O41" s="62">
        <v>382265</v>
      </c>
      <c r="P41" s="62">
        <v>225358</v>
      </c>
      <c r="Q41" s="62">
        <v>236595</v>
      </c>
      <c r="R41" s="62"/>
      <c r="S41" s="62">
        <v>443155</v>
      </c>
      <c r="T41" s="62">
        <f t="shared" si="41"/>
        <v>8230426.166666667</v>
      </c>
      <c r="U41" s="62">
        <f t="shared" si="42"/>
        <v>914491.79629629629</v>
      </c>
      <c r="V41" s="60">
        <v>235854</v>
      </c>
      <c r="W41" s="60">
        <v>336758</v>
      </c>
      <c r="X41" s="60">
        <v>723082</v>
      </c>
      <c r="Y41" s="59">
        <f t="shared" si="43"/>
        <v>12271277.962962965</v>
      </c>
      <c r="Z41" s="59">
        <f>Y41/9</f>
        <v>1363475.3292181073</v>
      </c>
      <c r="AA41" s="84">
        <v>717063</v>
      </c>
      <c r="AB41" s="84">
        <v>522983</v>
      </c>
      <c r="AC41" s="84">
        <v>510939</v>
      </c>
      <c r="AD41" s="84">
        <v>573678</v>
      </c>
      <c r="AE41" s="67">
        <f>SUM(AA41:AD41)</f>
        <v>2324663</v>
      </c>
      <c r="AF41" s="84">
        <f>AE41/4</f>
        <v>581165.75</v>
      </c>
      <c r="AG41" s="60">
        <v>1429400</v>
      </c>
      <c r="AH41" s="60"/>
      <c r="AI41" s="60">
        <v>897949</v>
      </c>
      <c r="AJ41" s="60">
        <v>765508</v>
      </c>
      <c r="AK41" s="60">
        <f>SUM(AG41:AJ41)-AH41</f>
        <v>3092857</v>
      </c>
      <c r="AL41" s="60">
        <f>AK41/3</f>
        <v>1030952.3333333334</v>
      </c>
      <c r="AM41" s="62">
        <v>729626</v>
      </c>
      <c r="AN41" s="62">
        <v>1053526</v>
      </c>
      <c r="AO41" s="62">
        <v>866771</v>
      </c>
      <c r="AP41" s="62">
        <v>643310</v>
      </c>
      <c r="AQ41" s="62">
        <v>1273369</v>
      </c>
      <c r="AR41" s="62">
        <f>SUM(AM41:AQ41)</f>
        <v>4566602</v>
      </c>
      <c r="AS41" s="62">
        <f>AR41/5</f>
        <v>913320.4</v>
      </c>
      <c r="AT41" s="60">
        <v>866948</v>
      </c>
      <c r="AU41" s="60">
        <v>637902</v>
      </c>
      <c r="AV41" s="60">
        <v>431509</v>
      </c>
      <c r="AW41" s="60">
        <v>620872</v>
      </c>
      <c r="AX41" s="60"/>
      <c r="AY41" s="60">
        <v>1379482</v>
      </c>
      <c r="AZ41" s="60">
        <f>SUM(AT41:AY41)-AX41</f>
        <v>3936713</v>
      </c>
      <c r="BA41" s="60">
        <f>AZ41/5</f>
        <v>787342.6</v>
      </c>
      <c r="BB41" s="62">
        <v>695901</v>
      </c>
      <c r="BC41" s="62">
        <v>524645</v>
      </c>
      <c r="BD41" s="62">
        <v>968523</v>
      </c>
      <c r="BE41" s="62">
        <f>SUM(BB41:BD41)</f>
        <v>2189069</v>
      </c>
      <c r="BF41" s="89">
        <f>BE41/3</f>
        <v>729689.66666666663</v>
      </c>
    </row>
    <row r="42" spans="1:58" ht="19.899999999999999" customHeight="1">
      <c r="A42" s="23" t="s">
        <v>106</v>
      </c>
      <c r="B42" s="163"/>
      <c r="C42" s="152">
        <v>5127</v>
      </c>
      <c r="D42" s="60">
        <v>4096</v>
      </c>
      <c r="E42" s="60">
        <v>7680</v>
      </c>
      <c r="F42" s="60"/>
      <c r="G42" s="60">
        <v>2324</v>
      </c>
      <c r="H42" s="60">
        <v>2987</v>
      </c>
      <c r="I42" s="60">
        <v>4613</v>
      </c>
      <c r="J42" s="59">
        <f>SUM(C42:I42)-F42</f>
        <v>26827</v>
      </c>
      <c r="K42" s="60">
        <f>J42/6</f>
        <v>4471.166666666667</v>
      </c>
      <c r="L42" s="62">
        <v>1848</v>
      </c>
      <c r="M42" s="62">
        <v>1350</v>
      </c>
      <c r="N42" s="62"/>
      <c r="O42" s="62">
        <v>2231</v>
      </c>
      <c r="P42" s="62">
        <v>1588</v>
      </c>
      <c r="Q42" s="62">
        <v>1105</v>
      </c>
      <c r="R42" s="62"/>
      <c r="S42" s="62">
        <v>3603</v>
      </c>
      <c r="T42" s="62">
        <f t="shared" si="41"/>
        <v>52947.166666666664</v>
      </c>
      <c r="U42" s="62">
        <f t="shared" si="42"/>
        <v>5883.0185185185182</v>
      </c>
      <c r="V42" s="60">
        <v>1840</v>
      </c>
      <c r="W42" s="60">
        <v>1093</v>
      </c>
      <c r="X42" s="60">
        <v>3922</v>
      </c>
      <c r="Y42" s="59">
        <f t="shared" si="43"/>
        <v>77410.185185185182</v>
      </c>
      <c r="Z42" s="59">
        <f>Y42/9</f>
        <v>8601.1316872427979</v>
      </c>
      <c r="AA42" s="84">
        <v>4329</v>
      </c>
      <c r="AB42" s="84">
        <v>4697</v>
      </c>
      <c r="AC42" s="84">
        <v>4876</v>
      </c>
      <c r="AD42" s="84">
        <v>3420</v>
      </c>
      <c r="AE42" s="67">
        <f>SUM(AA42:AD42)</f>
        <v>17322</v>
      </c>
      <c r="AF42" s="84">
        <f>AE42/4</f>
        <v>4330.5</v>
      </c>
      <c r="AG42" s="60">
        <v>8774</v>
      </c>
      <c r="AH42" s="60"/>
      <c r="AI42" s="60">
        <v>6576</v>
      </c>
      <c r="AJ42" s="60">
        <v>8500</v>
      </c>
      <c r="AK42" s="60">
        <f>SUM(AG42:AJ42)-AH42</f>
        <v>23850</v>
      </c>
      <c r="AL42" s="60">
        <f>AK42/3</f>
        <v>7950</v>
      </c>
      <c r="AM42" s="62">
        <v>5562</v>
      </c>
      <c r="AN42" s="62">
        <v>5420</v>
      </c>
      <c r="AO42" s="62">
        <v>3832</v>
      </c>
      <c r="AP42" s="62">
        <v>5454</v>
      </c>
      <c r="AQ42" s="62">
        <v>7292</v>
      </c>
      <c r="AR42" s="62">
        <f>SUM(AM42:AQ42)</f>
        <v>27560</v>
      </c>
      <c r="AS42" s="62">
        <f>AR42/5</f>
        <v>5512</v>
      </c>
      <c r="AT42" s="60">
        <v>5802</v>
      </c>
      <c r="AU42" s="60">
        <v>5400</v>
      </c>
      <c r="AV42" s="60">
        <v>3546</v>
      </c>
      <c r="AW42" s="60">
        <v>4558</v>
      </c>
      <c r="AX42" s="60"/>
      <c r="AY42" s="60">
        <v>8670</v>
      </c>
      <c r="AZ42" s="60">
        <f>SUM(AT42:AY42)-AX42</f>
        <v>27976</v>
      </c>
      <c r="BA42" s="60">
        <f>AZ42/5</f>
        <v>5595.2</v>
      </c>
      <c r="BB42" s="62">
        <v>3612</v>
      </c>
      <c r="BC42" s="62">
        <v>3250</v>
      </c>
      <c r="BD42" s="62">
        <v>6435</v>
      </c>
      <c r="BE42" s="62">
        <f>SUM(BB42:BD42)</f>
        <v>13297</v>
      </c>
      <c r="BF42" s="89">
        <f>BE42/3</f>
        <v>4432.333333333333</v>
      </c>
    </row>
    <row r="43" spans="1:58" ht="19.899999999999999" customHeight="1">
      <c r="A43" s="23" t="s">
        <v>216</v>
      </c>
      <c r="B43" s="160" t="s">
        <v>217</v>
      </c>
      <c r="C43" s="155">
        <f>C41/C42</f>
        <v>114.40140433001756</v>
      </c>
      <c r="D43" s="65">
        <f>D41/D42</f>
        <v>160.045166015625</v>
      </c>
      <c r="E43" s="65">
        <f>E41/E42</f>
        <v>159.25716145833334</v>
      </c>
      <c r="F43" s="65"/>
      <c r="G43" s="65">
        <f>G41/G42</f>
        <v>148.03786574870912</v>
      </c>
      <c r="H43" s="65">
        <f>H41/H42</f>
        <v>159.12788751255439</v>
      </c>
      <c r="I43" s="65">
        <f>I41/I42</f>
        <v>174.93561673531323</v>
      </c>
      <c r="J43" s="59">
        <f>SUM(C43:I43)-F43</f>
        <v>915.80510180055262</v>
      </c>
      <c r="K43" s="60">
        <f>J43/6</f>
        <v>152.63418363342544</v>
      </c>
      <c r="L43" s="82">
        <f>L41/L42</f>
        <v>158.22402597402598</v>
      </c>
      <c r="M43" s="82">
        <f>M41/M42</f>
        <v>185.84814814814814</v>
      </c>
      <c r="N43" s="82"/>
      <c r="O43" s="82">
        <f>O41/O42</f>
        <v>171.3424473330345</v>
      </c>
      <c r="P43" s="82">
        <f>P41/P42</f>
        <v>141.91309823677582</v>
      </c>
      <c r="Q43" s="82">
        <f>Q41/Q42</f>
        <v>214.11312217194569</v>
      </c>
      <c r="R43" s="82"/>
      <c r="S43" s="82">
        <f>S41/S42</f>
        <v>122.99611434915349</v>
      </c>
      <c r="T43" s="62">
        <f t="shared" si="41"/>
        <v>2544.9776116436387</v>
      </c>
      <c r="U43" s="62">
        <f t="shared" si="42"/>
        <v>282.77529018262652</v>
      </c>
      <c r="V43" s="65">
        <f>V41/V42</f>
        <v>128.18152173913043</v>
      </c>
      <c r="W43" s="65">
        <f>W41/W42</f>
        <v>308.10430009149133</v>
      </c>
      <c r="X43" s="65">
        <f>X41/X42</f>
        <v>184.36562978072413</v>
      </c>
      <c r="Y43" s="59">
        <f t="shared" si="43"/>
        <v>4442.8413096506938</v>
      </c>
      <c r="Z43" s="59">
        <f>Y43/9</f>
        <v>493.64903440563262</v>
      </c>
      <c r="AA43" s="64">
        <f>AA41/AA42</f>
        <v>165.64171864171865</v>
      </c>
      <c r="AB43" s="64">
        <f>AB41/AB42</f>
        <v>111.34404939322972</v>
      </c>
      <c r="AC43" s="64">
        <f>AC41/AC42</f>
        <v>104.78650533223954</v>
      </c>
      <c r="AD43" s="64">
        <f>AD41/AD42</f>
        <v>167.7421052631579</v>
      </c>
      <c r="AE43" s="67">
        <f>SUM(AA43:AD43)</f>
        <v>549.51437863034585</v>
      </c>
      <c r="AF43" s="84">
        <f>AE43/4</f>
        <v>137.37859465758646</v>
      </c>
      <c r="AG43" s="65">
        <f>AG41/AG42</f>
        <v>162.91315249601095</v>
      </c>
      <c r="AH43" s="65"/>
      <c r="AI43" s="65">
        <f>AI41/AI42</f>
        <v>136.54942214111921</v>
      </c>
      <c r="AJ43" s="65">
        <f>AJ41/AJ42</f>
        <v>90.059764705882358</v>
      </c>
      <c r="AK43" s="60">
        <f>SUM(AG43:AJ43)-AH43</f>
        <v>389.5223393430125</v>
      </c>
      <c r="AL43" s="60">
        <f>AK43/3</f>
        <v>129.84077978100416</v>
      </c>
      <c r="AM43" s="82">
        <f>AM41/AM42</f>
        <v>131.18051060769508</v>
      </c>
      <c r="AN43" s="82">
        <f>AN41/AN42</f>
        <v>194.37749077490776</v>
      </c>
      <c r="AO43" s="82">
        <f>AO41/AO42</f>
        <v>226.19284968684761</v>
      </c>
      <c r="AP43" s="82">
        <f>AP41/AP42</f>
        <v>117.95196186285295</v>
      </c>
      <c r="AQ43" s="82">
        <f>AQ41/AQ42</f>
        <v>174.62547997805814</v>
      </c>
      <c r="AR43" s="62">
        <f>SUM(AM43:AQ43)</f>
        <v>844.32829291036148</v>
      </c>
      <c r="AS43" s="62">
        <f>AR43/5</f>
        <v>168.86565858207229</v>
      </c>
      <c r="AT43" s="65">
        <f>AT41/AT42</f>
        <v>149.42226818338503</v>
      </c>
      <c r="AU43" s="65">
        <f>AU41/AU42</f>
        <v>118.13</v>
      </c>
      <c r="AV43" s="65">
        <f>AV41/AV42</f>
        <v>121.68894529046813</v>
      </c>
      <c r="AW43" s="65">
        <f>AW41/AW42</f>
        <v>136.21588415971917</v>
      </c>
      <c r="AX43" s="65"/>
      <c r="AY43" s="65">
        <f>AY41/AY42</f>
        <v>159.10980392156864</v>
      </c>
      <c r="AZ43" s="60">
        <f>SUM(AT43:AY43)-AX43</f>
        <v>684.56690155514093</v>
      </c>
      <c r="BA43" s="60">
        <f>AZ43/5</f>
        <v>136.91338031102819</v>
      </c>
      <c r="BB43" s="82">
        <f>BB41/BB42</f>
        <v>192.66362126245846</v>
      </c>
      <c r="BC43" s="82">
        <f>BC41/BC42</f>
        <v>161.42923076923077</v>
      </c>
      <c r="BD43" s="82">
        <f>BD41/BD42</f>
        <v>150.50862470862472</v>
      </c>
      <c r="BE43" s="62">
        <f>SUM(BB43:BD43)</f>
        <v>504.60147674031396</v>
      </c>
      <c r="BF43" s="89">
        <f>BE43/3</f>
        <v>168.20049224677132</v>
      </c>
    </row>
    <row r="44" spans="1:58" ht="19.899999999999999" customHeight="1" thickBot="1">
      <c r="A44" s="105" t="s">
        <v>218</v>
      </c>
      <c r="B44" s="164" t="s">
        <v>219</v>
      </c>
      <c r="C44" s="156">
        <f>C41/C5</f>
        <v>1690.3054755043227</v>
      </c>
      <c r="D44" s="106">
        <f>D41/D5</f>
        <v>2366.5884476534297</v>
      </c>
      <c r="E44" s="106">
        <f>E41/E5</f>
        <v>3235.701058201058</v>
      </c>
      <c r="F44" s="106"/>
      <c r="G44" s="106">
        <f>G41/G5</f>
        <v>2940.5128205128203</v>
      </c>
      <c r="H44" s="106">
        <f>H41/H5</f>
        <v>2670.3089887640449</v>
      </c>
      <c r="I44" s="106">
        <f>I41/I5</f>
        <v>4138.3487179487183</v>
      </c>
      <c r="J44" s="107">
        <f>SUM(C44:I44)-F44</f>
        <v>17041.765508584394</v>
      </c>
      <c r="K44" s="108">
        <f>J44/6</f>
        <v>2840.2942514307324</v>
      </c>
      <c r="L44" s="109">
        <f>L41/L5</f>
        <v>8122.166666666667</v>
      </c>
      <c r="M44" s="109">
        <f>M41/M5</f>
        <v>13938.611111111111</v>
      </c>
      <c r="N44" s="109"/>
      <c r="O44" s="109">
        <f>O41/O5</f>
        <v>5309.2361111111113</v>
      </c>
      <c r="P44" s="109">
        <f>P41/P5</f>
        <v>8346.5925925925931</v>
      </c>
      <c r="Q44" s="109">
        <f>Q41/Q5</f>
        <v>21508.636363636364</v>
      </c>
      <c r="R44" s="109"/>
      <c r="S44" s="109">
        <f>S41/S5</f>
        <v>8057.363636363636</v>
      </c>
      <c r="T44" s="110">
        <f t="shared" si="41"/>
        <v>94913.836768722191</v>
      </c>
      <c r="U44" s="110">
        <f t="shared" si="42"/>
        <v>10545.981863191355</v>
      </c>
      <c r="V44" s="106">
        <f>V41/V5</f>
        <v>16846.714285714286</v>
      </c>
      <c r="W44" s="106">
        <f>W41/W5</f>
        <v>7483.5111111111109</v>
      </c>
      <c r="X44" s="106">
        <f>X41/X5</f>
        <v>5738.7460317460318</v>
      </c>
      <c r="Y44" s="107">
        <f t="shared" si="43"/>
        <v>200811.39654196647</v>
      </c>
      <c r="Z44" s="107">
        <f>Y44/9</f>
        <v>22312.377393551829</v>
      </c>
      <c r="AA44" s="111">
        <f>AA41/AA5</f>
        <v>2551.8256227758006</v>
      </c>
      <c r="AB44" s="111">
        <f>AB41/AB5</f>
        <v>1874.4910394265232</v>
      </c>
      <c r="AC44" s="111">
        <f>AC41/AC5</f>
        <v>2675.0732984293195</v>
      </c>
      <c r="AD44" s="111">
        <f>AD41/AD5</f>
        <v>2430.8389830508477</v>
      </c>
      <c r="AE44" s="112">
        <f>SUM(AA44:AD44)</f>
        <v>9532.2289436824904</v>
      </c>
      <c r="AF44" s="113">
        <f>AE44/4</f>
        <v>2383.0572359206226</v>
      </c>
      <c r="AG44" s="106">
        <f>AG41/AG5</f>
        <v>3646.4285714285716</v>
      </c>
      <c r="AH44" s="106" t="e">
        <f>AH41/AH5</f>
        <v>#DIV/0!</v>
      </c>
      <c r="AI44" s="106">
        <f>AI41/AI5</f>
        <v>2460.1342465753423</v>
      </c>
      <c r="AJ44" s="106">
        <f>AJ41/AJ5</f>
        <v>1772.0092592592594</v>
      </c>
      <c r="AK44" s="114" t="e">
        <f>SUM(AG44:AJ44)-AH44</f>
        <v>#DIV/0!</v>
      </c>
      <c r="AL44" s="108" t="e">
        <f>AK44/3</f>
        <v>#DIV/0!</v>
      </c>
      <c r="AM44" s="109">
        <f>AM41/AM5</f>
        <v>3629.9800995024875</v>
      </c>
      <c r="AN44" s="109">
        <f>AN41/AN5</f>
        <v>4282.6260162601629</v>
      </c>
      <c r="AO44" s="109">
        <f>AO41/AO5</f>
        <v>4815.3944444444442</v>
      </c>
      <c r="AP44" s="109">
        <f>AP41/AP5</f>
        <v>3496.25</v>
      </c>
      <c r="AQ44" s="109">
        <f>AQ41/AQ5</f>
        <v>3083.2179176755449</v>
      </c>
      <c r="AR44" s="110">
        <f>SUM(AM44:AQ44)</f>
        <v>19307.468477882638</v>
      </c>
      <c r="AS44" s="110">
        <f>AR44/5</f>
        <v>3861.4936955765274</v>
      </c>
      <c r="AT44" s="106">
        <f>AT41/AT5</f>
        <v>2870.6887417218545</v>
      </c>
      <c r="AU44" s="106">
        <f>AU41/AU5</f>
        <v>1962.7753846153846</v>
      </c>
      <c r="AV44" s="106">
        <f>AV41/AV5</f>
        <v>1514.0666666666666</v>
      </c>
      <c r="AW44" s="106">
        <f>AW41/AW5</f>
        <v>1826.0941176470587</v>
      </c>
      <c r="AX44" s="106"/>
      <c r="AY44" s="106">
        <f>AY41/AY5</f>
        <v>2891.9958071278825</v>
      </c>
      <c r="AZ44" s="108">
        <f>SUM(AT44:AY44)-AX44</f>
        <v>11065.620717778847</v>
      </c>
      <c r="BA44" s="108">
        <f>AZ44/5</f>
        <v>2213.1241435557695</v>
      </c>
      <c r="BB44" s="109">
        <f>BB41/BB5</f>
        <v>2817.4129554655869</v>
      </c>
      <c r="BC44" s="109">
        <f>BC41/BC5</f>
        <v>2623.2249999999999</v>
      </c>
      <c r="BD44" s="109">
        <f>BD41/BD5</f>
        <v>3627.4269662921347</v>
      </c>
      <c r="BE44" s="110">
        <f>SUM(BB44:BD44)</f>
        <v>9068.0649217577211</v>
      </c>
      <c r="BF44" s="115">
        <f>BE44/3</f>
        <v>3022.6883072525738</v>
      </c>
    </row>
    <row r="45" spans="1:58"/>
    <row r="46" spans="1:58" ht="15" customHeight="1">
      <c r="A46" s="7"/>
    </row>
  </sheetData>
  <mergeCells count="9">
    <mergeCell ref="A1:B1"/>
    <mergeCell ref="AT1:BA1"/>
    <mergeCell ref="BB1:BF1"/>
    <mergeCell ref="C1:K1"/>
    <mergeCell ref="AA1:AF1"/>
    <mergeCell ref="AG1:AL1"/>
    <mergeCell ref="AM1:AS1"/>
    <mergeCell ref="L1:U1"/>
    <mergeCell ref="V1:Z1"/>
  </mergeCells>
  <phoneticPr fontId="8" type="noConversion"/>
  <conditionalFormatting sqref="C34:I34 L34:S34 V34:X34 AA34:AD34 AG34:AJ34 AM34:AQ34 AT34:AY34 BB34:BD34">
    <cfRule type="cellIs" dxfId="0" priority="1" operator="between">
      <formula>" $C$57*80%"</formula>
      <formula>" $C$57*119%"</formula>
    </cfRule>
  </conditionalFormatting>
  <pageMargins left="0.70866141732283472" right="0.70866141732283472" top="0.74803149606299213" bottom="0.74803149606299213" header="0.31496062992125984" footer="0.31496062992125984"/>
  <pageSetup paperSize="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c84498-782c-4e66-8645-44bdc7c0e6bb">
      <Terms xmlns="http://schemas.microsoft.com/office/infopath/2007/PartnerControls"/>
    </lcf76f155ced4ddcb4097134ff3c332f>
    <TaxCatchAll xmlns="33761ff9-5579-4994-b5bb-6fdcbf2f9b5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DFAD3E50F1E047AD0F4EA3A8B9744A" ma:contentTypeVersion="13" ma:contentTypeDescription="Opprett et nytt dokument." ma:contentTypeScope="" ma:versionID="a31b3be0c778b2311e7f87b7e7630ad8">
  <xsd:schema xmlns:xsd="http://www.w3.org/2001/XMLSchema" xmlns:xs="http://www.w3.org/2001/XMLSchema" xmlns:p="http://schemas.microsoft.com/office/2006/metadata/properties" xmlns:ns2="15c84498-782c-4e66-8645-44bdc7c0e6bb" xmlns:ns3="33761ff9-5579-4994-b5bb-6fdcbf2f9b58" targetNamespace="http://schemas.microsoft.com/office/2006/metadata/properties" ma:root="true" ma:fieldsID="221736ed88c6cb24121130959d40ee07" ns2:_="" ns3:_="">
    <xsd:import namespace="15c84498-782c-4e66-8645-44bdc7c0e6bb"/>
    <xsd:import namespace="33761ff9-5579-4994-b5bb-6fdcbf2f9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84498-782c-4e66-8645-44bdc7c0e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f0fd243c-ab16-4a64-b5b4-abfe456aef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61ff9-5579-4994-b5bb-6fdcbf2f9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4c9ce69-218a-4465-9110-395dcb72ab53}" ma:internalName="TaxCatchAll" ma:showField="CatchAllData" ma:web="33761ff9-5579-4994-b5bb-6fdcbf2f9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819C8-C632-47BD-A6B4-3AE996B67D26}"/>
</file>

<file path=customXml/itemProps2.xml><?xml version="1.0" encoding="utf-8"?>
<ds:datastoreItem xmlns:ds="http://schemas.openxmlformats.org/officeDocument/2006/customXml" ds:itemID="{298AC5AB-0B33-4EA4-B8C4-A12FC8BF41CC}"/>
</file>

<file path=customXml/itemProps3.xml><?xml version="1.0" encoding="utf-8"?>
<ds:datastoreItem xmlns:ds="http://schemas.openxmlformats.org/officeDocument/2006/customXml" ds:itemID="{E6256156-6669-4DBE-B413-15CDE13B00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Vurderingsmatrise barnehager og skoler</dc:title>
  <dc:subject/>
  <dc:creator>Arne Christian Vangdal</dc:creator>
  <cp:keywords/>
  <dc:description/>
  <cp:lastModifiedBy>Wenke Helene Sørensen</cp:lastModifiedBy>
  <cp:revision/>
  <dcterms:created xsi:type="dcterms:W3CDTF">2024-08-28T08:31:18Z</dcterms:created>
  <dcterms:modified xsi:type="dcterms:W3CDTF">2025-02-20T10:26:47Z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8694600f-c9fc-468f-95c1-64ae2d9f1d53</vt:lpwstr>
  </property>
  <property fmtid="{D5CDD505-2E9C-101B-9397-08002B2CF9AE}" pid="3" name="ContentTypeId">
    <vt:lpwstr>0x01010016DFAD3E50F1E047AD0F4EA3A8B9744A</vt:lpwstr>
  </property>
  <property fmtid="{D5CDD505-2E9C-101B-9397-08002B2CF9AE}" pid="4" name="MediaServiceImageTags">
    <vt:lpwstr/>
  </property>
</Properties>
</file>